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4.xml" ContentType="application/vnd.openxmlformats-officedocument.drawing+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charts/chart17.xml" ContentType="application/vnd.openxmlformats-officedocument.drawingml.chart+xml"/>
  <Override PartName="/xl/charts/style7.xml" ContentType="application/vnd.ms-office.chartstyle+xml"/>
  <Override PartName="/xl/charts/colors7.xml" ContentType="application/vnd.ms-office.chartcolorstyle+xml"/>
  <Override PartName="/xl/charts/chart18.xml" ContentType="application/vnd.openxmlformats-officedocument.drawingml.chart+xml"/>
  <Override PartName="/xl/charts/style8.xml" ContentType="application/vnd.ms-office.chartstyle+xml"/>
  <Override PartName="/xl/charts/colors8.xml" ContentType="application/vnd.ms-office.chartcolorstyle+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charts/chart20.xml" ContentType="application/vnd.openxmlformats-officedocument.drawingml.chart+xml"/>
  <Override PartName="/xl/charts/style10.xml" ContentType="application/vnd.ms-office.chartstyle+xml"/>
  <Override PartName="/xl/charts/colors10.xml" ContentType="application/vnd.ms-office.chartcolorstyle+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22.xml" ContentType="application/vnd.openxmlformats-officedocument.drawingml.chart+xml"/>
  <Override PartName="/xl/charts/style12.xml" ContentType="application/vnd.ms-office.chartstyle+xml"/>
  <Override PartName="/xl/charts/colors12.xml" ContentType="application/vnd.ms-office.chartcolorstyle+xml"/>
  <Override PartName="/xl/charts/chart23.xml" ContentType="application/vnd.openxmlformats-officedocument.drawingml.chart+xml"/>
  <Override PartName="/xl/charts/style13.xml" ContentType="application/vnd.ms-office.chartstyle+xml"/>
  <Override PartName="/xl/charts/colors13.xml" ContentType="application/vnd.ms-office.chartcolorstyle+xml"/>
  <Override PartName="/xl/charts/chart24.xml" ContentType="application/vnd.openxmlformats-officedocument.drawingml.chart+xml"/>
  <Override PartName="/xl/charts/style14.xml" ContentType="application/vnd.ms-office.chartstyle+xml"/>
  <Override PartName="/xl/charts/colors14.xml" ContentType="application/vnd.ms-office.chartcolorstyle+xml"/>
  <Override PartName="/xl/charts/chart25.xml" ContentType="application/vnd.openxmlformats-officedocument.drawingml.chart+xml"/>
  <Override PartName="/xl/charts/style15.xml" ContentType="application/vnd.ms-office.chartstyle+xml"/>
  <Override PartName="/xl/charts/colors15.xml" ContentType="application/vnd.ms-office.chartcolorstyle+xml"/>
  <Override PartName="/xl/charts/chart26.xml" ContentType="application/vnd.openxmlformats-officedocument.drawingml.chart+xml"/>
  <Override PartName="/xl/charts/style16.xml" ContentType="application/vnd.ms-office.chartstyle+xml"/>
  <Override PartName="/xl/charts/colors16.xml" ContentType="application/vnd.ms-office.chartcolorstyle+xml"/>
  <Override PartName="/xl/charts/chart27.xml" ContentType="application/vnd.openxmlformats-officedocument.drawingml.chart+xml"/>
  <Override PartName="/xl/charts/style17.xml" ContentType="application/vnd.ms-office.chartstyle+xml"/>
  <Override PartName="/xl/charts/colors17.xml" ContentType="application/vnd.ms-office.chartcolorstyle+xml"/>
  <Override PartName="/xl/charts/chart28.xml" ContentType="application/vnd.openxmlformats-officedocument.drawingml.chart+xml"/>
  <Override PartName="/xl/charts/style18.xml" ContentType="application/vnd.ms-office.chartstyle+xml"/>
  <Override PartName="/xl/charts/colors18.xml" ContentType="application/vnd.ms-office.chartcolorstyle+xml"/>
  <Override PartName="/xl/charts/chart29.xml" ContentType="application/vnd.openxmlformats-officedocument.drawingml.chart+xml"/>
  <Override PartName="/xl/charts/style19.xml" ContentType="application/vnd.ms-office.chartstyle+xml"/>
  <Override PartName="/xl/charts/colors19.xml" ContentType="application/vnd.ms-office.chartcolorstyle+xml"/>
  <Override PartName="/xl/charts/chart30.xml" ContentType="application/vnd.openxmlformats-officedocument.drawingml.chart+xml"/>
  <Override PartName="/xl/charts/style20.xml" ContentType="application/vnd.ms-office.chartstyle+xml"/>
  <Override PartName="/xl/charts/colors20.xml" ContentType="application/vnd.ms-office.chartcolorstyle+xml"/>
  <Override PartName="/xl/charts/chart3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xml"/>
  <Override PartName="/xl/charts/chart32.xml" ContentType="application/vnd.openxmlformats-officedocument.drawingml.chart+xml"/>
  <Override PartName="/xl/charts/style22.xml" ContentType="application/vnd.ms-office.chartstyle+xml"/>
  <Override PartName="/xl/charts/colors22.xml" ContentType="application/vnd.ms-office.chartcolorstyle+xml"/>
  <Override PartName="/xl/charts/chartEx1.xml" ContentType="application/vnd.ms-office.chartex+xml"/>
  <Override PartName="/xl/charts/style23.xml" ContentType="application/vnd.ms-office.chartstyle+xml"/>
  <Override PartName="/xl/charts/colors2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filterPrivacy="1" defaultThemeVersion="124226"/>
  <xr:revisionPtr revIDLastSave="2911" documentId="8_{BC84E732-812B-40FA-8410-2EEDC4363078}" xr6:coauthVersionLast="47" xr6:coauthVersionMax="47" xr10:uidLastSave="{862542DD-A518-4890-8BBC-0EB97100D51C}"/>
  <bookViews>
    <workbookView xWindow="-120" yWindow="-120" windowWidth="29040" windowHeight="15720" tabRatio="852" xr2:uid="{00000000-000D-0000-FFFF-FFFF00000000}"/>
  </bookViews>
  <sheets>
    <sheet name="SISSEJUHATUS" sheetId="21" r:id="rId1"/>
    <sheet name="ÜLDANDMED" sheetId="11" r:id="rId2"/>
    <sheet name="ELEKTER" sheetId="2" r:id="rId3"/>
    <sheet name="SOOJUS" sheetId="14" r:id="rId4"/>
    <sheet name="VESI" sheetId="3" r:id="rId5"/>
    <sheet name="PABER" sheetId="5" r:id="rId6"/>
    <sheet name="JÄÄTMED" sheetId="15" r:id="rId7"/>
    <sheet name="KOOND" sheetId="19" r:id="rId8"/>
    <sheet name="KHG_OMA SÕIDUKID M1" sheetId="16" r:id="rId9"/>
    <sheet name="KHG_HAJUSHEITMED M1" sheetId="30" r:id="rId10"/>
    <sheet name="KHG_PESUPESEMISTEENUS M3" sheetId="32" r:id="rId11"/>
    <sheet name="KHG_TÖÖREISID M3" sheetId="35" r:id="rId12"/>
    <sheet name="KHG_TRANSPORDITEENUS M3" sheetId="27" r:id="rId13"/>
    <sheet name="KLIENDI KHG JALAJÄLG" sheetId="34" r:id="rId14"/>
    <sheet name="KHG JALAJÄLG KOOND" sheetId="8" r:id="rId15"/>
    <sheet name="KHG eriheitetegurid" sheetId="17" r:id="rId16"/>
  </sheets>
  <definedNames>
    <definedName name="_xlchart.v1.0" hidden="1">('KHG JALAJÄLG KOOND'!$AH$21:$AH$22,'KHG JALAJÄLG KOOND'!$AH$24:$AH$26,'KHG JALAJÄLG KOOND'!$AH$28:$AH$33)</definedName>
    <definedName name="_xlchart.v1.1" hidden="1">('KHG JALAJÄLG KOOND'!$Y$21:$Z$22,'KHG JALAJÄLG KOOND'!$Y$24:$Z$26,'KHG JALAJÄLG KOOND'!$Y$28:$Z$33)</definedName>
    <definedName name="jäätmed_biojäätmed">'KHG eriheitetegurid'!$D$361</definedName>
    <definedName name="jäätmed_klaas">'KHG eriheitetegurid'!$D$362</definedName>
    <definedName name="jäätmed_paber">'KHG eriheitetegurid'!$D$363</definedName>
    <definedName name="jäätmed_segaolme_põletus">'KHG eriheitetegurid'!$D$366</definedName>
    <definedName name="jäätmed_segaolme_prügila">'KHG eriheitetegurid'!$D$365</definedName>
    <definedName name="jäätmed_segapakend">'KHG eriheitetegurid'!$D$364</definedName>
    <definedName name="kütus_bensiin_kaubik_2024">'KHG eriheitetegurid'!$D$89</definedName>
    <definedName name="kütus_bensiin_kaubik_2025">'KHG eriheitetegurid'!$D$90</definedName>
    <definedName name="kütus_bensiin_kaubik_2026">'KHG eriheitetegurid'!$D$91</definedName>
    <definedName name="kütus_bensiin_kaubik_2027">'KHG eriheitetegurid'!$D$92</definedName>
    <definedName name="kütus_bensiin_kaubik_2028">'KHG eriheitetegurid'!$D$93</definedName>
    <definedName name="kütus_bensiin_kaubik_2029">'KHG eriheitetegurid'!$D$94</definedName>
    <definedName name="kütus_bensiin_kaubik_2030">'KHG eriheitetegurid'!$D$95</definedName>
    <definedName name="kütus_bensiin_sõiduauto_2024">'KHG eriheitetegurid'!$D$96</definedName>
    <definedName name="kütus_bensiin_sõiduauto_2025">'KHG eriheitetegurid'!$D$97</definedName>
    <definedName name="kütus_bensiin_sõiduauto_2026">'KHG eriheitetegurid'!$D$98</definedName>
    <definedName name="kütus_bensiin_sõiduauto_2027">'KHG eriheitetegurid'!$D$99</definedName>
    <definedName name="kütus_bensiin_sõiduauto_2028">'KHG eriheitetegurid'!$D$100</definedName>
    <definedName name="kütus_bensiin_sõiduauto_2029">'KHG eriheitetegurid'!$D$101</definedName>
    <definedName name="kütus_bensiin_sõiduauto_2030">'KHG eriheitetegurid'!$D$102</definedName>
    <definedName name="kütus_bioCNG_sõiduauto_2024">'KHG eriheitetegurid'!$D$103</definedName>
    <definedName name="kütus_bioCNG_sõiduauto_2025">'KHG eriheitetegurid'!$D$104</definedName>
    <definedName name="kütus_bioCNG_sõiduauto_2026">'KHG eriheitetegurid'!$D$105</definedName>
    <definedName name="kütus_bioCNG_sõiduauto_2027">'KHG eriheitetegurid'!$D$106</definedName>
    <definedName name="kütus_bioCNG_sõiduauto_2028">'KHG eriheitetegurid'!$D$107</definedName>
    <definedName name="kütus_bioCNG_sõiduauto_2029">'KHG eriheitetegurid'!$D$108</definedName>
    <definedName name="kütus_bioCNG_sõiduauto_2030">'KHG eriheitetegurid'!$D$109</definedName>
    <definedName name="kütus_CNG_sõiduauto_2024">'KHG eriheitetegurid'!$D$131</definedName>
    <definedName name="kütus_CNG_sõiduauto_2025">'KHG eriheitetegurid'!$D$132</definedName>
    <definedName name="kütus_CNG_sõiduauto_2026">'KHG eriheitetegurid'!$D$133</definedName>
    <definedName name="kütus_CNG_sõiduauto_2027">'KHG eriheitetegurid'!$D$134</definedName>
    <definedName name="kütus_CNG_sõiduauto_2028">'KHG eriheitetegurid'!$D$135</definedName>
    <definedName name="kütus_CNG_sõiduauto_2029">'KHG eriheitetegurid'!$D$136</definedName>
    <definedName name="kütus_CNG_sõiduauto_2030">'KHG eriheitetegurid'!$D$137</definedName>
    <definedName name="kütus_diisel_buss_2024">'KHG eriheitetegurid'!$D$110</definedName>
    <definedName name="kütus_diisel_buss_2025">'KHG eriheitetegurid'!$D$111</definedName>
    <definedName name="kütus_diisel_buss_2026">'KHG eriheitetegurid'!$D$112</definedName>
    <definedName name="kütus_diisel_buss_2027">'KHG eriheitetegurid'!$D$113</definedName>
    <definedName name="kütus_diisel_buss_2028">'KHG eriheitetegurid'!$D$114</definedName>
    <definedName name="kütus_diisel_buss_2029">'KHG eriheitetegurid'!$D$115</definedName>
    <definedName name="kütus_diisel_buss_2030">'KHG eriheitetegurid'!$D$116</definedName>
    <definedName name="kütus_diisel_kaubik_2024">'KHG eriheitetegurid'!$D$117</definedName>
    <definedName name="kütus_diisel_kaubik_2025">'KHG eriheitetegurid'!$D$118</definedName>
    <definedName name="kütus_diisel_kaubik_2026">'KHG eriheitetegurid'!$D$119</definedName>
    <definedName name="kütus_diisel_kaubik_2027">'KHG eriheitetegurid'!$D$120</definedName>
    <definedName name="kütus_diisel_kaubik_2028">'KHG eriheitetegurid'!$D$121</definedName>
    <definedName name="kütus_diisel_kaubik_2029">'KHG eriheitetegurid'!$D$122</definedName>
    <definedName name="kütus_diisel_kaubik_2030">'KHG eriheitetegurid'!$D$123</definedName>
    <definedName name="kütus_diisel_sõiduauto_2024">'KHG eriheitetegurid'!$D$124</definedName>
    <definedName name="kütus_diisel_sõiduauto_2025">'KHG eriheitetegurid'!$D$125</definedName>
    <definedName name="kütus_diisel_sõiduauto_2026">'KHG eriheitetegurid'!$D$126</definedName>
    <definedName name="kütus_diisel_sõiduauto_2027">'KHG eriheitetegurid'!$D$127</definedName>
    <definedName name="kütus_diisel_sõiduauto_2028">'KHG eriheitetegurid'!$D$128</definedName>
    <definedName name="kütus_diisel_sõiduauto_2029">'KHG eriheitetegurid'!$D$129</definedName>
    <definedName name="kütus_diisel_sõiduauto_2030">'KHG eriheitetegurid'!$D$130</definedName>
    <definedName name="kütus_taastuvelekter">'KHG eriheitetegurid'!$D$138</definedName>
    <definedName name="lehträtik">'KHG eriheitetegurid'!$D$354</definedName>
    <definedName name="lokaalküte_biomass_2024">'KHG eriheitetegurid'!$D$44</definedName>
    <definedName name="lokaalküte_biomass_2025">'KHG eriheitetegurid'!$D$45</definedName>
    <definedName name="lokaalküte_biomass_2026">'KHG eriheitetegurid'!$D$46</definedName>
    <definedName name="lokaalküte_biomass_2027">'KHG eriheitetegurid'!$D$47</definedName>
    <definedName name="lokaalküte_biomass_2028">'KHG eriheitetegurid'!$D$48</definedName>
    <definedName name="lokaalküte_biomass_2029">'KHG eriheitetegurid'!$D$49</definedName>
    <definedName name="lokaalküte_biomass_2030">'KHG eriheitetegurid'!$D$50</definedName>
    <definedName name="lokaalküte_freesturvas_2024">'KHG eriheitetegurid'!$D$51</definedName>
    <definedName name="lokaalküte_freesturvas_2025">'KHG eriheitetegurid'!$D$52</definedName>
    <definedName name="lokaalküte_freesturvas_2026">'KHG eriheitetegurid'!$D$53</definedName>
    <definedName name="lokaalküte_freesturvas_2027">'KHG eriheitetegurid'!$D$54</definedName>
    <definedName name="lokaalküte_freesturvas_2028">'KHG eriheitetegurid'!$D$55</definedName>
    <definedName name="lokaalküte_freesturvas_2029">'KHG eriheitetegurid'!$D$56</definedName>
    <definedName name="lokaalküte_freesturvas_2030">'KHG eriheitetegurid'!$D$57</definedName>
    <definedName name="lokaalküte_kütteõli_2024">'KHG eriheitetegurid'!$D$58</definedName>
    <definedName name="lokaalküte_kütteõli_2025">'KHG eriheitetegurid'!$D$59</definedName>
    <definedName name="lokaalküte_kütteõli_2026">'KHG eriheitetegurid'!$D$60</definedName>
    <definedName name="lokaalküte_kütteõli_2027">'KHG eriheitetegurid'!$D$61</definedName>
    <definedName name="lokaalküte_kütteõli_2028">'KHG eriheitetegurid'!$D$62</definedName>
    <definedName name="lokaalküte_kütteõli_2029">'KHG eriheitetegurid'!$D$63</definedName>
    <definedName name="lokaalküte_kütteõli_2030">'KHG eriheitetegurid'!$D$64</definedName>
    <definedName name="lokaalküte_LPG_2024">'KHG eriheitetegurid'!$D$79</definedName>
    <definedName name="lokaalküte_LPG_2025">'KHG eriheitetegurid'!$D$80</definedName>
    <definedName name="lokaalküte_LPG_2026">'KHG eriheitetegurid'!$D$81</definedName>
    <definedName name="lokaalküte_LPG_2027">'KHG eriheitetegurid'!$D$82</definedName>
    <definedName name="lokaalküte_LPG_2028">'KHG eriheitetegurid'!$D$83</definedName>
    <definedName name="lokaalküte_LPG_2029">'KHG eriheitetegurid'!$D$84</definedName>
    <definedName name="lokaalküte_LPG_2030">'KHG eriheitetegurid'!$D$85</definedName>
    <definedName name="lokaalküte_maagaas_2024">'KHG eriheitetegurid'!$D$65</definedName>
    <definedName name="lokaalküte_maagaas_2025">'KHG eriheitetegurid'!$D$66</definedName>
    <definedName name="lokaalküte_maagaas_2026">'KHG eriheitetegurid'!$D$67</definedName>
    <definedName name="lokaalküte_maagaas_2027">'KHG eriheitetegurid'!$D$68</definedName>
    <definedName name="lokaalküte_maagaas_2028">'KHG eriheitetegurid'!$D$69</definedName>
    <definedName name="lokaalküte_maagaas_2029">'KHG eriheitetegurid'!$D$70</definedName>
    <definedName name="lokaalküte_maagaas_2030">'KHG eriheitetegurid'!$D$71</definedName>
    <definedName name="lokaalküte_põlevkiviõli_2024">'KHG eriheitetegurid'!$D$72</definedName>
    <definedName name="lokaalküte_põlevkiviõli_2025">'KHG eriheitetegurid'!$D$73</definedName>
    <definedName name="lokaalküte_põlevkiviõli_2026">'KHG eriheitetegurid'!$D$74</definedName>
    <definedName name="lokaalküte_põlevkiviõli_2027">'KHG eriheitetegurid'!$D$75</definedName>
    <definedName name="lokaalküte_põlevkiviõli_2028">'KHG eriheitetegurid'!$D$76</definedName>
    <definedName name="lokaalküte_põlevkiviõli_2029">'KHG eriheitetegurid'!$D$77</definedName>
    <definedName name="lokaalküte_põlevkiviõli_2030">'KHG eriheitetegurid'!$D$78</definedName>
    <definedName name="ööbimised_2024">ÜLDANDMED!$D$21</definedName>
    <definedName name="ööbimised_2025">ÜLDANDMED!$E$21</definedName>
    <definedName name="ööbimised_2026">ÜLDANDMED!$F$21</definedName>
    <definedName name="ööbimised_2027">ÜLDANDMED!$G$21</definedName>
    <definedName name="ööbimised_2028">ÜLDANDMED!$H$21</definedName>
    <definedName name="ööbimised_2029">ÜLDANDMED!$I$21</definedName>
    <definedName name="ööbimised_2030">ÜLDANDMED!$J$21</definedName>
    <definedName name="paber_2024">'KHG eriheitetegurid'!$D$347</definedName>
    <definedName name="paber_2025">'KHG eriheitetegurid'!$D$348</definedName>
    <definedName name="paber_2026">'KHG eriheitetegurid'!$D$349</definedName>
    <definedName name="paber_2027">'KHG eriheitetegurid'!$D$350</definedName>
    <definedName name="paber_2028">'KHG eriheitetegurid'!$D$351</definedName>
    <definedName name="paber_2029">'KHG eriheitetegurid'!$D$352</definedName>
    <definedName name="paber_2030">'KHG eriheitetegurid'!$D$353</definedName>
    <definedName name="pesu_hõivatud_tuba">'KHG eriheitetegurid'!$D$169</definedName>
    <definedName name="pesupesemisteenus">'KHG eriheitetegurid'!$D$168</definedName>
    <definedName name="salvrätik">'KHG eriheitetegurid'!$D$355</definedName>
    <definedName name="segajääk_2024">'KHG eriheitetegurid'!$D$7</definedName>
    <definedName name="segajääk_2025">'KHG eriheitetegurid'!$D$8</definedName>
    <definedName name="segajääk_2026">'KHG eriheitetegurid'!$D$9</definedName>
    <definedName name="segajääk_2027">'KHG eriheitetegurid'!$D$10</definedName>
    <definedName name="segajääk_2028">'KHG eriheitetegurid'!$D$11</definedName>
    <definedName name="segajääk_2029">'KHG eriheitetegurid'!$D$12</definedName>
    <definedName name="segajääk_2030">'KHG eriheitetegurid'!$D$13</definedName>
    <definedName name="segajääk200">'KHG eriheitetegurid'!$D$9</definedName>
    <definedName name="sõiduauto_bensiin_2024">'KHG eriheitetegurid'!$D$174</definedName>
    <definedName name="sõiduauto_bensiin_2025">'KHG eriheitetegurid'!$D$175</definedName>
    <definedName name="sõiduauto_bensiin_2026">'KHG eriheitetegurid'!$D$176</definedName>
    <definedName name="sõiduauto_bensiin_2027">'KHG eriheitetegurid'!$D$177</definedName>
    <definedName name="sõiduauto_bensiin_2028">'KHG eriheitetegurid'!$D$178</definedName>
    <definedName name="sõiduauto_bensiin_2029">'KHG eriheitetegurid'!$D$179</definedName>
    <definedName name="sõiduauto_bensiin_2030">'KHG eriheitetegurid'!$D$180</definedName>
    <definedName name="sõiduauto_bioCNG_2024">'KHG eriheitetegurid'!$D$188</definedName>
    <definedName name="sõiduauto_bioCNG_2025">'KHG eriheitetegurid'!$D$189</definedName>
    <definedName name="sõiduauto_bioCNG_2026">'KHG eriheitetegurid'!$D$190</definedName>
    <definedName name="sõiduauto_bioCNG_2027">'KHG eriheitetegurid'!$D$191</definedName>
    <definedName name="sõiduauto_bioCNG_2028">'KHG eriheitetegurid'!$D$192</definedName>
    <definedName name="sõiduauto_bioCNG_2029">'KHG eriheitetegurid'!$D$193</definedName>
    <definedName name="sõiduauto_bioCNG_2030">'KHG eriheitetegurid'!$D$194</definedName>
    <definedName name="sõiduauto_CNG_2024">'KHG eriheitetegurid'!$D$195</definedName>
    <definedName name="sõiduauto_CNG_2025">'KHG eriheitetegurid'!$D$196</definedName>
    <definedName name="sõiduauto_CNG_2026">'KHG eriheitetegurid'!$D$197</definedName>
    <definedName name="sõiduauto_CNG_2027">'KHG eriheitetegurid'!$D$198</definedName>
    <definedName name="sõiduauto_CNG_2028">'KHG eriheitetegurid'!$D$199</definedName>
    <definedName name="sõiduauto_CNG_2029">'KHG eriheitetegurid'!$D$200</definedName>
    <definedName name="sõiduauto_CNG_2030">'KHG eriheitetegurid'!$D$201</definedName>
    <definedName name="sõiduauto_diisel_2024">'KHG eriheitetegurid'!$D$181</definedName>
    <definedName name="sõiduauto_diisel_2025">'KHG eriheitetegurid'!$D$182</definedName>
    <definedName name="sõiduauto_diisel_2026">'KHG eriheitetegurid'!$D$183</definedName>
    <definedName name="sõiduauto_diisel_2027">'KHG eriheitetegurid'!$D$184</definedName>
    <definedName name="sõiduauto_diisel_2028">'KHG eriheitetegurid'!$D$185</definedName>
    <definedName name="sõiduauto_diisel_2029">'KHG eriheitetegurid'!$D$186</definedName>
    <definedName name="sõiduauto_diisel_2030">'KHG eriheitetegurid'!$D$187</definedName>
    <definedName name="sõiduauto_hübriid_2024">'KHG eriheitetegurid'!$D$202</definedName>
    <definedName name="sõiduauto_hübriid_2025">'KHG eriheitetegurid'!$D$203</definedName>
    <definedName name="sõiduauto_hübriid_2026">'KHG eriheitetegurid'!$D$204</definedName>
    <definedName name="sõiduauto_hübriid_2027">'KHG eriheitetegurid'!$D$205</definedName>
    <definedName name="sõiduauto_hübriid_2028">'KHG eriheitetegurid'!$D$206</definedName>
    <definedName name="sõiduauto_hübriid_2029">'KHG eriheitetegurid'!$D$207</definedName>
    <definedName name="sõiduauto_hübriid_2030">'KHG eriheitetegurid'!$D$208</definedName>
    <definedName name="sõiduauto_taastuvelekter">'KHG eriheitetegurid'!$D$209</definedName>
    <definedName name="sõiduauto_tavaelekter_2024">'KHG eriheitetegurid'!$D$210</definedName>
    <definedName name="sõiduauto_tavaelekter_2025">'KHG eriheitetegurid'!$D$211</definedName>
    <definedName name="sõiduauto_tavaelekter_2026">'KHG eriheitetegurid'!$D$212</definedName>
    <definedName name="sõiduauto_tavaelekter_2027">'KHG eriheitetegurid'!$D$213</definedName>
    <definedName name="sõiduauto_tavaelekter_2028">'KHG eriheitetegurid'!$D$214</definedName>
    <definedName name="sõiduauto_tavaelekter_2029">'KHG eriheitetegurid'!$D$215</definedName>
    <definedName name="sõiduauto_tavaelekter_2030">'KHG eriheitetegurid'!$D$216</definedName>
    <definedName name="sõiduk_buss_kaugliin_2024">'KHG eriheitetegurid'!$D$224</definedName>
    <definedName name="sõiduk_buss_kaugliin_2025">'KHG eriheitetegurid'!$D$225</definedName>
    <definedName name="sõiduk_buss_kaugliin_2026">'KHG eriheitetegurid'!$D$226</definedName>
    <definedName name="sõiduk_buss_kaugliin_2027">'KHG eriheitetegurid'!$D$227</definedName>
    <definedName name="sõiduk_buss_kaugliin_2028">'KHG eriheitetegurid'!$D$228</definedName>
    <definedName name="sõiduk_buss_kaugliin_2029">'KHG eriheitetegurid'!$D$229</definedName>
    <definedName name="sõiduk_buss_kaugliin_2030">'KHG eriheitetegurid'!$D$230</definedName>
    <definedName name="sõiduk_buss_linnaliin_Eesti_2024">'KHG eriheitetegurid'!$D$231</definedName>
    <definedName name="sõiduk_buss_linnaliin_Eesti_2025">'KHG eriheitetegurid'!$D$232</definedName>
    <definedName name="sõiduk_buss_linnaliin_Eesti_2026">'KHG eriheitetegurid'!$D$233</definedName>
    <definedName name="sõiduk_buss_linnaliin_Eesti_2027">'KHG eriheitetegurid'!$D$234</definedName>
    <definedName name="sõiduk_buss_linnaliin_Eesti_2028">'KHG eriheitetegurid'!$D$235</definedName>
    <definedName name="sõiduk_buss_linnaliin_Eesti_2029">'KHG eriheitetegurid'!$D$236</definedName>
    <definedName name="sõiduk_buss_linnaliin_Eesti_2030">'KHG eriheitetegurid'!$D$237</definedName>
    <definedName name="sõiduk_buss_linnaliin_Tallinn_2024">'KHG eriheitetegurid'!$D$238</definedName>
    <definedName name="sõiduk_buss_linnaliin_Tallinn_2025">'KHG eriheitetegurid'!$D$239</definedName>
    <definedName name="sõiduk_buss_linnaliin_Tallinn_2026">'KHG eriheitetegurid'!$D$240</definedName>
    <definedName name="sõiduk_buss_linnaliin_Tallinn_2027">'KHG eriheitetegurid'!$D$241</definedName>
    <definedName name="sõiduk_buss_linnaliin_Tallinn_2028">'KHG eriheitetegurid'!$D$242</definedName>
    <definedName name="sõiduk_buss_linnaliin_Tallinn_2029">'KHG eriheitetegurid'!$D$243</definedName>
    <definedName name="sõiduk_buss_linnaliin_Tallinn_2030">'KHG eriheitetegurid'!$D$244</definedName>
    <definedName name="sõiduk_buss_maakondlik_2024">'KHG eriheitetegurid'!$D$245</definedName>
    <definedName name="sõiduk_buss_maakondlik_2025">'KHG eriheitetegurid'!$D$246</definedName>
    <definedName name="sõiduk_buss_maakondlik_2026">'KHG eriheitetegurid'!$D$247</definedName>
    <definedName name="sõiduk_buss_maakondlik_2027">'KHG eriheitetegurid'!$D$248</definedName>
    <definedName name="sõiduk_buss_maakondlik_2028">'KHG eriheitetegurid'!$D$249</definedName>
    <definedName name="sõiduk_buss_maakondlik_2029">'KHG eriheitetegurid'!$D$250</definedName>
    <definedName name="sõiduk_buss_maakondlik_2030">'KHG eriheitetegurid'!$D$251</definedName>
    <definedName name="sõiduk_diiselrong_2024">'KHG eriheitetegurid'!$D$253</definedName>
    <definedName name="sõiduk_diiselrong_2025">'KHG eriheitetegurid'!$D$254</definedName>
    <definedName name="sõiduk_diiselrong_2026">'KHG eriheitetegurid'!$D$255</definedName>
    <definedName name="sõiduk_diiselrong_2027">'KHG eriheitetegurid'!$D$256</definedName>
    <definedName name="sõiduk_diiselrong_2028">'KHG eriheitetegurid'!$D$257</definedName>
    <definedName name="sõiduk_diiselrong_2029">'KHG eriheitetegurid'!$D$258</definedName>
    <definedName name="sõiduk_diiselrong_2030">'KHG eriheitetegurid'!$D$259</definedName>
    <definedName name="sõiduk_elektrirong">'KHG eriheitetegurid'!$D$252</definedName>
    <definedName name="sõiduk_laev_2024">'KHG eriheitetegurid'!$D$260</definedName>
    <definedName name="sõiduk_laev_2025">'KHG eriheitetegurid'!$D$261</definedName>
    <definedName name="sõiduk_laev_2026">'KHG eriheitetegurid'!$D$262</definedName>
    <definedName name="sõiduk_laev_2027">'KHG eriheitetegurid'!$D$263</definedName>
    <definedName name="sõiduk_laev_2028">'KHG eriheitetegurid'!$D$264</definedName>
    <definedName name="sõiduk_laev_2029">'KHG eriheitetegurid'!$D$265</definedName>
    <definedName name="sõiduk_laev_2030">'KHG eriheitetegurid'!$D$266</definedName>
    <definedName name="sõiduk_lennuk_2024">'KHG eriheitetegurid'!$D$267</definedName>
    <definedName name="sõiduk_lennuk_2025">'KHG eriheitetegurid'!$D$268</definedName>
    <definedName name="sõiduk_lennuk_2026">'KHG eriheitetegurid'!$D$269</definedName>
    <definedName name="sõiduk_lennuk_2027">'KHG eriheitetegurid'!$D$270</definedName>
    <definedName name="sõiduk_lennuk_2028">'KHG eriheitetegurid'!$D$271</definedName>
    <definedName name="sõiduk_lennuk_2029">'KHG eriheitetegurid'!$D$272</definedName>
    <definedName name="sõiduk_lennuk_2030">'KHG eriheitetegurid'!$D$273</definedName>
    <definedName name="sõiduk_takso_2024">'KHG eriheitetegurid'!$D$217</definedName>
    <definedName name="sõiduk_takso_2025">'KHG eriheitetegurid'!$D$218</definedName>
    <definedName name="sõiduk_takso_2026">'KHG eriheitetegurid'!$D$219</definedName>
    <definedName name="sõiduk_takso_2027">'KHG eriheitetegurid'!$D$220</definedName>
    <definedName name="sõiduk_takso_2028">'KHG eriheitetegurid'!$D$221</definedName>
    <definedName name="sõiduk_takso_2029">'KHG eriheitetegurid'!$D$222</definedName>
    <definedName name="sõiduk_takso_2030">'KHG eriheitetegurid'!$D$223</definedName>
    <definedName name="transport_buss_2024">'KHG eriheitetegurid'!$D$322</definedName>
    <definedName name="transport_buss_2025">'KHG eriheitetegurid'!$D$323</definedName>
    <definedName name="transport_buss_2026">'KHG eriheitetegurid'!$D$324</definedName>
    <definedName name="transport_buss_2027">'KHG eriheitetegurid'!$D$325</definedName>
    <definedName name="transport_buss_2028">'KHG eriheitetegurid'!$D$326</definedName>
    <definedName name="transport_buss_2029">'KHG eriheitetegurid'!$D$327</definedName>
    <definedName name="transport_buss_2030">'KHG eriheitetegurid'!$D$328</definedName>
    <definedName name="transport_kaubik_bensiin_km_2024">'KHG eriheitetegurid'!$D$278</definedName>
    <definedName name="transport_kaubik_bensiin_km_2025">'KHG eriheitetegurid'!$D$279</definedName>
    <definedName name="transport_kaubik_bensiin_km_2026">'KHG eriheitetegurid'!$D$280</definedName>
    <definedName name="transport_kaubik_bensiin_km_2027">'KHG eriheitetegurid'!$D$281</definedName>
    <definedName name="transport_kaubik_bensiin_km_2028">'KHG eriheitetegurid'!$D$282</definedName>
    <definedName name="transport_kaubik_bensiin_km_2029">'KHG eriheitetegurid'!$D$283</definedName>
    <definedName name="transport_kaubik_bensiin_km_2030">'KHG eriheitetegurid'!$D$284</definedName>
    <definedName name="transport_kaubik_bensiin_tonnkm_2024">'KHG eriheitetegurid'!$D$285</definedName>
    <definedName name="transport_kaubik_bensiin_tonnkm_2025">'KHG eriheitetegurid'!$D$286</definedName>
    <definedName name="transport_kaubik_bensiin_tonnkm_2026">'KHG eriheitetegurid'!$D$287</definedName>
    <definedName name="transport_kaubik_bensiin_tonnkm_2027">'KHG eriheitetegurid'!$D$288</definedName>
    <definedName name="transport_kaubik_bensiin_tonnkm_2028">'KHG eriheitetegurid'!$D$289</definedName>
    <definedName name="transport_kaubik_bensiin_tonnkm_2029">'KHG eriheitetegurid'!$D$290</definedName>
    <definedName name="transport_kaubik_bensiin_tonnkm_2030">'KHG eriheitetegurid'!$D$291</definedName>
    <definedName name="transport_kaubik_diisel_km_2024">'KHG eriheitetegurid'!$D$292</definedName>
    <definedName name="transport_kaubik_diisel_km_2025">'KHG eriheitetegurid'!$D$293</definedName>
    <definedName name="transport_kaubik_diisel_km_2026">'KHG eriheitetegurid'!$D$294</definedName>
    <definedName name="transport_kaubik_diisel_km_2027">'KHG eriheitetegurid'!$D$295</definedName>
    <definedName name="transport_kaubik_diisel_km_2028">'KHG eriheitetegurid'!$D$296</definedName>
    <definedName name="transport_kaubik_diisel_km_2029">'KHG eriheitetegurid'!$D$297</definedName>
    <definedName name="transport_kaubik_diisel_km_2030">'KHG eriheitetegurid'!$D$298</definedName>
    <definedName name="transport_kaubik_diisel_tonnkm_2024">'KHG eriheitetegurid'!$D$299</definedName>
    <definedName name="transport_kaubik_diisel_tonnkm_2025">'KHG eriheitetegurid'!$D$300</definedName>
    <definedName name="transport_kaubik_diisel_tonnkm_2026">'KHG eriheitetegurid'!$D$301</definedName>
    <definedName name="transport_kaubik_diisel_tonnkm_2027">'KHG eriheitetegurid'!$D$302</definedName>
    <definedName name="transport_kaubik_diisel_tonnkm_2028">'KHG eriheitetegurid'!$D$303</definedName>
    <definedName name="transport_kaubik_diisel_tonnkm_2029">'KHG eriheitetegurid'!$D$304</definedName>
    <definedName name="transport_kaubik_diisel_tonnkm_2030">'KHG eriheitetegurid'!$D$305</definedName>
    <definedName name="transport_kaubik_taastuvelekter_km">'KHG eriheitetegurid'!$D$306</definedName>
    <definedName name="transport_kaubik_taastuvelekter_tonnkm">'KHG eriheitetegurid'!$D$307</definedName>
    <definedName name="transport_kaubik_tavaelekter_km_2024">'KHG eriheitetegurid'!$D$308</definedName>
    <definedName name="transport_kaubik_tavaelekter_km_2025">'KHG eriheitetegurid'!$D$309</definedName>
    <definedName name="transport_kaubik_tavaelekter_km_2026">'KHG eriheitetegurid'!$D$310</definedName>
    <definedName name="transport_kaubik_tavaelekter_km_2027">'KHG eriheitetegurid'!$D$311</definedName>
    <definedName name="transport_kaubik_tavaelekter_km_2028">'KHG eriheitetegurid'!$D$312</definedName>
    <definedName name="transport_kaubik_tavaelekter_km_2029">'KHG eriheitetegurid'!$D$313</definedName>
    <definedName name="transport_kaubik_tavaelekter_km_2030">'KHG eriheitetegurid'!$D$314</definedName>
    <definedName name="transport_kaubik_tavaelekter_tonnkm_2024">'KHG eriheitetegurid'!$D$315</definedName>
    <definedName name="transport_kaubik_tavaelekter_tonnkm_2025">'KHG eriheitetegurid'!$D$316</definedName>
    <definedName name="transport_kaubik_tavaelekter_tonnkm_2026">'KHG eriheitetegurid'!$D$317</definedName>
    <definedName name="transport_kaubik_tavaelekter_tonnkm_2027">'KHG eriheitetegurid'!$D$318</definedName>
    <definedName name="transport_kaubik_tavaelekter_tonnkm_2028">'KHG eriheitetegurid'!$D$319</definedName>
    <definedName name="transport_kaubik_tavaelekter_tonnkm_2029">'KHG eriheitetegurid'!$D$320</definedName>
    <definedName name="transport_kaubik_tavaelekter_tonnkm_2030">'KHG eriheitetegurid'!$D$321</definedName>
    <definedName name="transport_väikebuss_2024">'KHG eriheitetegurid'!$D$329</definedName>
    <definedName name="transport_väikebuss_2025">'KHG eriheitetegurid'!$D$330</definedName>
    <definedName name="transport_väikebuss_2026">'KHG eriheitetegurid'!$D$331</definedName>
    <definedName name="transport_väikebuss_2027">'KHG eriheitetegurid'!$D$332</definedName>
    <definedName name="transport_väikebuss_2028">'KHG eriheitetegurid'!$D$333</definedName>
    <definedName name="transport_väikebuss_2029">'KHG eriheitetegurid'!$D$334</definedName>
    <definedName name="transport_väikebuss_2030">'KHG eriheitetegurid'!$D$335</definedName>
    <definedName name="tualettpaber">'KHG eriheitetegurid'!$D$356</definedName>
    <definedName name="üldpind_2024">ÜLDANDMED!$D$16</definedName>
    <definedName name="üldpind_2025">ÜLDANDMED!$E$16</definedName>
    <definedName name="üldpind_2026">ÜLDANDMED!$F$16</definedName>
    <definedName name="üldpind_2027">ÜLDANDMED!$G$16</definedName>
    <definedName name="üldpind_2028">ÜLDANDMED!$H$16</definedName>
    <definedName name="üldpind_2029">ÜLDANDMED!$I$16</definedName>
    <definedName name="üldpind_2030">ÜLDANDMED!$J$16</definedName>
    <definedName name="vesi_2024">'KHG eriheitetegurid'!$D$340</definedName>
    <definedName name="vesi_2025">'KHG eriheitetegurid'!$D$341</definedName>
    <definedName name="vesi_2026">'KHG eriheitetegurid'!$D$342</definedName>
    <definedName name="vesi_2027">'KHG eriheitetegurid'!$D$343</definedName>
    <definedName name="vesi_2028">'KHG eriheitetegurid'!$D$344</definedName>
    <definedName name="vesi_2029">'KHG eriheitetegurid'!$D$345</definedName>
    <definedName name="vesi_2030">'KHG eriheitetegurid'!$D$346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8" l="1"/>
  <c r="C37" i="8" l="1"/>
  <c r="C17" i="34" s="1"/>
  <c r="C34" i="8"/>
  <c r="D20" i="11"/>
  <c r="P24" i="11"/>
  <c r="E16" i="16"/>
  <c r="E23" i="16"/>
  <c r="K16" i="27"/>
  <c r="K22" i="27" s="1"/>
  <c r="D8" i="5"/>
  <c r="D51" i="5" s="1"/>
  <c r="D7" i="5"/>
  <c r="D22" i="5" s="1"/>
  <c r="D60" i="5" l="1"/>
  <c r="D69" i="5"/>
  <c r="D78" i="5"/>
  <c r="D31" i="5"/>
  <c r="D24" i="5"/>
  <c r="D33" i="5"/>
  <c r="D42" i="5"/>
  <c r="D67" i="5"/>
  <c r="D76" i="5"/>
  <c r="D58" i="5"/>
  <c r="D49" i="5"/>
  <c r="D40" i="5"/>
  <c r="E17" i="3" l="1"/>
  <c r="E169" i="35" l="1" a="1"/>
  <c r="E169" i="35" s="1"/>
  <c r="E168" i="35" a="1"/>
  <c r="E168" i="35" s="1"/>
  <c r="E167" i="35" a="1"/>
  <c r="E167" i="35" s="1"/>
  <c r="E166" i="35" a="1"/>
  <c r="E166" i="35" s="1"/>
  <c r="E165" i="35"/>
  <c r="E164" i="35"/>
  <c r="E163" i="35"/>
  <c r="E146" i="35" a="1"/>
  <c r="E146" i="35" s="1"/>
  <c r="E145" i="35" a="1"/>
  <c r="E145" i="35" s="1"/>
  <c r="E144" i="35" a="1"/>
  <c r="E144" i="35" s="1"/>
  <c r="E143" i="35" a="1"/>
  <c r="E143" i="35" s="1"/>
  <c r="E142" i="35"/>
  <c r="E141" i="35"/>
  <c r="E140" i="35"/>
  <c r="E123" i="35" a="1"/>
  <c r="E123" i="35" s="1"/>
  <c r="E122" i="35" a="1"/>
  <c r="E122" i="35" s="1"/>
  <c r="E121" i="35" a="1"/>
  <c r="E121" i="35" s="1"/>
  <c r="E120" i="35" a="1"/>
  <c r="E120" i="35" s="1"/>
  <c r="E119" i="35"/>
  <c r="E118" i="35"/>
  <c r="E117" i="35"/>
  <c r="E100" i="35"/>
  <c r="E99" i="35" a="1"/>
  <c r="E99" i="35" s="1"/>
  <c r="E98" i="35" a="1"/>
  <c r="E98" i="35" s="1"/>
  <c r="E97" i="35" a="1"/>
  <c r="E97" i="35" s="1"/>
  <c r="E96" i="35"/>
  <c r="E95" i="35"/>
  <c r="E94" i="35"/>
  <c r="E77" i="35" a="1"/>
  <c r="E77" i="35" s="1"/>
  <c r="E76" i="35" a="1"/>
  <c r="E76" i="35" s="1"/>
  <c r="E75" i="35" a="1"/>
  <c r="E75" i="35" s="1"/>
  <c r="E74" i="35" a="1"/>
  <c r="E74" i="35" s="1"/>
  <c r="E73" i="35"/>
  <c r="E72" i="35"/>
  <c r="E71" i="35"/>
  <c r="E31" i="35" a="1"/>
  <c r="E31" i="35" s="1"/>
  <c r="E30" i="35" a="1"/>
  <c r="E30" i="35" s="1"/>
  <c r="E29" i="35" a="1"/>
  <c r="E29" i="35" s="1"/>
  <c r="E28" i="35" a="1"/>
  <c r="E28" i="35" s="1"/>
  <c r="E27" i="35"/>
  <c r="E26" i="35"/>
  <c r="E25" i="35"/>
  <c r="E54" i="35" a="1"/>
  <c r="E54" i="35" s="1"/>
  <c r="E53" i="35" a="1"/>
  <c r="E53" i="35" s="1"/>
  <c r="E52" i="35" a="1"/>
  <c r="E52" i="35" s="1"/>
  <c r="E51" i="35" a="1"/>
  <c r="E51" i="35" s="1"/>
  <c r="E50" i="35"/>
  <c r="E49" i="35"/>
  <c r="E48" i="35"/>
  <c r="D216" i="17"/>
  <c r="D215" i="17"/>
  <c r="D214" i="17"/>
  <c r="D213" i="17"/>
  <c r="D212" i="17"/>
  <c r="D211" i="17"/>
  <c r="E35" i="14" l="1"/>
  <c r="F35" i="14"/>
  <c r="G35" i="14"/>
  <c r="H35" i="14"/>
  <c r="I35" i="14"/>
  <c r="J35" i="14"/>
  <c r="K35" i="14"/>
  <c r="L35" i="14"/>
  <c r="M35" i="14"/>
  <c r="N35" i="14"/>
  <c r="O35" i="14"/>
  <c r="D35" i="14"/>
  <c r="E32" i="14"/>
  <c r="F32" i="14"/>
  <c r="G32" i="14"/>
  <c r="H32" i="14"/>
  <c r="I32" i="14"/>
  <c r="J32" i="14"/>
  <c r="K32" i="14"/>
  <c r="L32" i="14"/>
  <c r="M32" i="14"/>
  <c r="N32" i="14"/>
  <c r="O32" i="14"/>
  <c r="D32" i="14"/>
  <c r="E29" i="14"/>
  <c r="F29" i="14"/>
  <c r="G29" i="14"/>
  <c r="H29" i="14"/>
  <c r="I29" i="14"/>
  <c r="J29" i="14"/>
  <c r="K29" i="14"/>
  <c r="L29" i="14"/>
  <c r="M29" i="14"/>
  <c r="N29" i="14"/>
  <c r="O29" i="14"/>
  <c r="D29" i="14"/>
  <c r="E26" i="14"/>
  <c r="F26" i="14"/>
  <c r="G26" i="14"/>
  <c r="H26" i="14"/>
  <c r="I26" i="14"/>
  <c r="J26" i="14"/>
  <c r="K26" i="14"/>
  <c r="L26" i="14"/>
  <c r="M26" i="14"/>
  <c r="N26" i="14"/>
  <c r="O26" i="14"/>
  <c r="D26" i="14"/>
  <c r="E23" i="14"/>
  <c r="F23" i="14"/>
  <c r="G23" i="14"/>
  <c r="H23" i="14"/>
  <c r="I23" i="14"/>
  <c r="J23" i="14"/>
  <c r="K23" i="14"/>
  <c r="L23" i="14"/>
  <c r="M23" i="14"/>
  <c r="N23" i="14"/>
  <c r="O23" i="14"/>
  <c r="D23" i="14"/>
  <c r="E20" i="14"/>
  <c r="F20" i="14"/>
  <c r="G20" i="14"/>
  <c r="H20" i="14"/>
  <c r="I20" i="14"/>
  <c r="J20" i="14"/>
  <c r="K20" i="14"/>
  <c r="L20" i="14"/>
  <c r="M20" i="14"/>
  <c r="N20" i="14"/>
  <c r="O20" i="14"/>
  <c r="D20" i="14"/>
  <c r="D17" i="14"/>
  <c r="E17" i="14"/>
  <c r="F17" i="14"/>
  <c r="G17" i="14"/>
  <c r="H17" i="14"/>
  <c r="I17" i="14"/>
  <c r="J17" i="14"/>
  <c r="K17" i="14"/>
  <c r="L17" i="14"/>
  <c r="M17" i="14"/>
  <c r="N17" i="14"/>
  <c r="O17" i="14"/>
  <c r="B49" i="19"/>
  <c r="B26" i="19"/>
  <c r="E199" i="15"/>
  <c r="F199" i="15"/>
  <c r="G199" i="15"/>
  <c r="H199" i="15"/>
  <c r="I199" i="15"/>
  <c r="J199" i="15"/>
  <c r="K199" i="15"/>
  <c r="L199" i="15"/>
  <c r="M199" i="15"/>
  <c r="N199" i="15"/>
  <c r="O199" i="15"/>
  <c r="D199" i="15"/>
  <c r="E172" i="15"/>
  <c r="F172" i="15"/>
  <c r="G172" i="15"/>
  <c r="H172" i="15"/>
  <c r="I172" i="15"/>
  <c r="J172" i="15"/>
  <c r="K172" i="15"/>
  <c r="L172" i="15"/>
  <c r="M172" i="15"/>
  <c r="N172" i="15"/>
  <c r="O172" i="15"/>
  <c r="D172" i="15"/>
  <c r="E145" i="15"/>
  <c r="F145" i="15"/>
  <c r="G145" i="15"/>
  <c r="H145" i="15"/>
  <c r="I145" i="15"/>
  <c r="J145" i="15"/>
  <c r="K145" i="15"/>
  <c r="L145" i="15"/>
  <c r="M145" i="15"/>
  <c r="N145" i="15"/>
  <c r="O145" i="15"/>
  <c r="D145" i="15"/>
  <c r="E118" i="15"/>
  <c r="F118" i="15"/>
  <c r="G118" i="15"/>
  <c r="H118" i="15"/>
  <c r="I118" i="15"/>
  <c r="J118" i="15"/>
  <c r="K118" i="15"/>
  <c r="L118" i="15"/>
  <c r="M118" i="15"/>
  <c r="N118" i="15"/>
  <c r="O118" i="15"/>
  <c r="D118" i="15"/>
  <c r="E91" i="15"/>
  <c r="F91" i="15"/>
  <c r="G91" i="15"/>
  <c r="H91" i="15"/>
  <c r="I91" i="15"/>
  <c r="J91" i="15"/>
  <c r="K91" i="15"/>
  <c r="L91" i="15"/>
  <c r="M91" i="15"/>
  <c r="N91" i="15"/>
  <c r="O91" i="15"/>
  <c r="D91" i="15"/>
  <c r="E64" i="15"/>
  <c r="F64" i="15"/>
  <c r="G64" i="15"/>
  <c r="H64" i="15"/>
  <c r="I64" i="15"/>
  <c r="J64" i="15"/>
  <c r="K64" i="15"/>
  <c r="L64" i="15"/>
  <c r="M64" i="15"/>
  <c r="N64" i="15"/>
  <c r="O64" i="15"/>
  <c r="D64" i="15"/>
  <c r="E27" i="3"/>
  <c r="F27" i="3"/>
  <c r="G27" i="3"/>
  <c r="H27" i="3"/>
  <c r="I27" i="3"/>
  <c r="J27" i="3"/>
  <c r="K27" i="3"/>
  <c r="L27" i="3"/>
  <c r="M27" i="3"/>
  <c r="N27" i="3"/>
  <c r="O27" i="3"/>
  <c r="D27" i="3"/>
  <c r="E25" i="3"/>
  <c r="F25" i="3"/>
  <c r="G25" i="3"/>
  <c r="H25" i="3"/>
  <c r="I25" i="3"/>
  <c r="J25" i="3"/>
  <c r="K25" i="3"/>
  <c r="L25" i="3"/>
  <c r="M25" i="3"/>
  <c r="N25" i="3"/>
  <c r="O25" i="3"/>
  <c r="D25" i="3"/>
  <c r="E23" i="3"/>
  <c r="F23" i="3"/>
  <c r="G23" i="3"/>
  <c r="H23" i="3"/>
  <c r="I23" i="3"/>
  <c r="J23" i="3"/>
  <c r="K23" i="3"/>
  <c r="L23" i="3"/>
  <c r="M23" i="3"/>
  <c r="N23" i="3"/>
  <c r="O23" i="3"/>
  <c r="D23" i="3"/>
  <c r="E21" i="3"/>
  <c r="F21" i="3"/>
  <c r="G21" i="3"/>
  <c r="H21" i="3"/>
  <c r="I21" i="3"/>
  <c r="J21" i="3"/>
  <c r="K21" i="3"/>
  <c r="L21" i="3"/>
  <c r="M21" i="3"/>
  <c r="N21" i="3"/>
  <c r="O21" i="3"/>
  <c r="D21" i="3"/>
  <c r="E19" i="3"/>
  <c r="F19" i="3"/>
  <c r="G19" i="3"/>
  <c r="H19" i="3"/>
  <c r="I19" i="3"/>
  <c r="J19" i="3"/>
  <c r="K19" i="3"/>
  <c r="L19" i="3"/>
  <c r="M19" i="3"/>
  <c r="N19" i="3"/>
  <c r="O19" i="3"/>
  <c r="D19" i="3"/>
  <c r="F17" i="3"/>
  <c r="G17" i="3"/>
  <c r="H17" i="3"/>
  <c r="I17" i="3"/>
  <c r="J17" i="3"/>
  <c r="K17" i="3"/>
  <c r="L17" i="3"/>
  <c r="M17" i="3"/>
  <c r="N17" i="3"/>
  <c r="O17" i="3"/>
  <c r="D17" i="3"/>
  <c r="B10" i="19"/>
  <c r="E29" i="2"/>
  <c r="E29" i="3" s="1"/>
  <c r="F29" i="2"/>
  <c r="F29" i="3" s="1"/>
  <c r="G29" i="2"/>
  <c r="G29" i="3" s="1"/>
  <c r="H29" i="2"/>
  <c r="H29" i="3" s="1"/>
  <c r="I29" i="2"/>
  <c r="I29" i="3" s="1"/>
  <c r="J29" i="2"/>
  <c r="J29" i="3" s="1"/>
  <c r="K29" i="2"/>
  <c r="K29" i="3" s="1"/>
  <c r="L29" i="2"/>
  <c r="L29" i="3" s="1"/>
  <c r="M29" i="2"/>
  <c r="M29" i="3" s="1"/>
  <c r="N29" i="2"/>
  <c r="N29" i="3" s="1"/>
  <c r="O29" i="2"/>
  <c r="O29" i="3" s="1"/>
  <c r="D29" i="2"/>
  <c r="D29" i="3" s="1"/>
  <c r="E27" i="2"/>
  <c r="F27" i="2"/>
  <c r="G27" i="2"/>
  <c r="H27" i="2"/>
  <c r="I27" i="2"/>
  <c r="J27" i="2"/>
  <c r="K27" i="2"/>
  <c r="L27" i="2"/>
  <c r="M27" i="2"/>
  <c r="N27" i="2"/>
  <c r="O27" i="2"/>
  <c r="D27" i="2"/>
  <c r="E25" i="2"/>
  <c r="F25" i="2"/>
  <c r="G25" i="2"/>
  <c r="H25" i="2"/>
  <c r="I25" i="2"/>
  <c r="J25" i="2"/>
  <c r="K25" i="2"/>
  <c r="L25" i="2"/>
  <c r="M25" i="2"/>
  <c r="N25" i="2"/>
  <c r="O25" i="2"/>
  <c r="D25" i="2"/>
  <c r="E23" i="2"/>
  <c r="F23" i="2"/>
  <c r="G23" i="2"/>
  <c r="H23" i="2"/>
  <c r="I23" i="2"/>
  <c r="J23" i="2"/>
  <c r="K23" i="2"/>
  <c r="L23" i="2"/>
  <c r="M23" i="2"/>
  <c r="N23" i="2"/>
  <c r="O23" i="2"/>
  <c r="D23" i="2"/>
  <c r="E21" i="2"/>
  <c r="F21" i="2"/>
  <c r="G21" i="2"/>
  <c r="H21" i="2"/>
  <c r="I21" i="2"/>
  <c r="J21" i="2"/>
  <c r="K21" i="2"/>
  <c r="L21" i="2"/>
  <c r="M21" i="2"/>
  <c r="N21" i="2"/>
  <c r="O21" i="2"/>
  <c r="D21" i="2"/>
  <c r="E19" i="2"/>
  <c r="F19" i="2"/>
  <c r="G19" i="2"/>
  <c r="H19" i="2"/>
  <c r="I19" i="2"/>
  <c r="J19" i="2"/>
  <c r="K19" i="2"/>
  <c r="L19" i="2"/>
  <c r="M19" i="2"/>
  <c r="N19" i="2"/>
  <c r="O19" i="2"/>
  <c r="D19" i="2"/>
  <c r="E17" i="2"/>
  <c r="F17" i="2"/>
  <c r="G17" i="2"/>
  <c r="H17" i="2"/>
  <c r="I17" i="2"/>
  <c r="J17" i="2"/>
  <c r="K17" i="2"/>
  <c r="L17" i="2"/>
  <c r="M17" i="2"/>
  <c r="N17" i="2"/>
  <c r="O17" i="2"/>
  <c r="D17" i="2"/>
  <c r="E160" i="35" l="1"/>
  <c r="E158" i="35"/>
  <c r="E156" i="35"/>
  <c r="E155" i="35"/>
  <c r="E154" i="35"/>
  <c r="E161" i="35"/>
  <c r="E138" i="35"/>
  <c r="E137" i="35"/>
  <c r="E135" i="35"/>
  <c r="E133" i="35"/>
  <c r="E132" i="35"/>
  <c r="E131" i="35"/>
  <c r="E115" i="35"/>
  <c r="E114" i="35"/>
  <c r="E112" i="35"/>
  <c r="E110" i="35"/>
  <c r="E109" i="35"/>
  <c r="E108" i="35"/>
  <c r="E92" i="35"/>
  <c r="E91" i="35"/>
  <c r="E89" i="35"/>
  <c r="E87" i="35"/>
  <c r="E86" i="35"/>
  <c r="E85" i="35"/>
  <c r="E66" i="35"/>
  <c r="E64" i="35"/>
  <c r="E63" i="35"/>
  <c r="E62" i="35"/>
  <c r="E68" i="35"/>
  <c r="E69" i="35"/>
  <c r="E46" i="35"/>
  <c r="E45" i="35"/>
  <c r="E43" i="35"/>
  <c r="D210" i="17"/>
  <c r="E157" i="35" l="1"/>
  <c r="E134" i="35"/>
  <c r="E111" i="35"/>
  <c r="E88" i="35"/>
  <c r="E65" i="35"/>
  <c r="E42" i="35"/>
  <c r="E41" i="35"/>
  <c r="E40" i="35"/>
  <c r="E39" i="35"/>
  <c r="E23" i="35"/>
  <c r="E22" i="35"/>
  <c r="E20" i="35"/>
  <c r="E19" i="35"/>
  <c r="E18" i="35"/>
  <c r="E17" i="35"/>
  <c r="E16" i="35"/>
  <c r="B153" i="35"/>
  <c r="B130" i="35"/>
  <c r="B107" i="35"/>
  <c r="B84" i="35"/>
  <c r="B61" i="35"/>
  <c r="B38" i="35"/>
  <c r="B15" i="35"/>
  <c r="E159" i="35"/>
  <c r="E136" i="35"/>
  <c r="E113" i="35"/>
  <c r="E90" i="35"/>
  <c r="E67" i="35"/>
  <c r="E44" i="35"/>
  <c r="E21" i="35"/>
  <c r="E32" i="35" l="1"/>
  <c r="C20" i="8" s="1"/>
  <c r="E124" i="35"/>
  <c r="G20" i="8" s="1"/>
  <c r="E147" i="35"/>
  <c r="H20" i="8" s="1"/>
  <c r="E101" i="35"/>
  <c r="F20" i="8" s="1"/>
  <c r="E78" i="35"/>
  <c r="E20" i="8" s="1"/>
  <c r="E55" i="35"/>
  <c r="D20" i="8" s="1"/>
  <c r="E170" i="35"/>
  <c r="I20" i="8" s="1"/>
  <c r="F36" i="14"/>
  <c r="D153" i="32" l="1"/>
  <c r="D132" i="32"/>
  <c r="D111" i="32"/>
  <c r="D90" i="32"/>
  <c r="D69" i="32"/>
  <c r="D48" i="32"/>
  <c r="C40" i="32"/>
  <c r="B142" i="32"/>
  <c r="B121" i="32"/>
  <c r="B100" i="32"/>
  <c r="B79" i="32"/>
  <c r="B58" i="32"/>
  <c r="B37" i="32"/>
  <c r="C158" i="32"/>
  <c r="D158" i="32" s="1"/>
  <c r="C157" i="32"/>
  <c r="C155" i="32"/>
  <c r="C154" i="32"/>
  <c r="C152" i="32"/>
  <c r="C150" i="32"/>
  <c r="C149" i="32"/>
  <c r="D148" i="32"/>
  <c r="C147" i="32"/>
  <c r="C145" i="32"/>
  <c r="C137" i="32"/>
  <c r="D137" i="32" s="1"/>
  <c r="C136" i="32"/>
  <c r="C134" i="32"/>
  <c r="C133" i="32"/>
  <c r="C131" i="32"/>
  <c r="C129" i="32"/>
  <c r="C128" i="32"/>
  <c r="D127" i="32"/>
  <c r="C126" i="32"/>
  <c r="C124" i="32"/>
  <c r="C116" i="32"/>
  <c r="D116" i="32" s="1"/>
  <c r="C115" i="32"/>
  <c r="C113" i="32"/>
  <c r="C112" i="32"/>
  <c r="C110" i="32"/>
  <c r="C108" i="32"/>
  <c r="C107" i="32"/>
  <c r="D106" i="32"/>
  <c r="C105" i="32"/>
  <c r="C103" i="32"/>
  <c r="C95" i="32"/>
  <c r="D95" i="32" s="1"/>
  <c r="C94" i="32"/>
  <c r="C92" i="32"/>
  <c r="C91" i="32"/>
  <c r="C89" i="32"/>
  <c r="C87" i="32"/>
  <c r="C86" i="32"/>
  <c r="D85" i="32"/>
  <c r="C84" i="32"/>
  <c r="C82" i="32"/>
  <c r="C74" i="32"/>
  <c r="D74" i="32" s="1"/>
  <c r="C73" i="32"/>
  <c r="C71" i="32"/>
  <c r="C70" i="32"/>
  <c r="C68" i="32"/>
  <c r="C66" i="32"/>
  <c r="C65" i="32"/>
  <c r="D64" i="32"/>
  <c r="C63" i="32"/>
  <c r="C61" i="32"/>
  <c r="C53" i="32"/>
  <c r="D53" i="32" s="1"/>
  <c r="C52" i="32"/>
  <c r="C50" i="32"/>
  <c r="C49" i="32"/>
  <c r="C47" i="32"/>
  <c r="C45" i="32"/>
  <c r="C44" i="32"/>
  <c r="D43" i="32"/>
  <c r="C42" i="32"/>
  <c r="D96" i="32" l="1"/>
  <c r="F19" i="8" s="1"/>
  <c r="D159" i="32"/>
  <c r="I19" i="8" s="1"/>
  <c r="D138" i="32"/>
  <c r="H19" i="8" s="1"/>
  <c r="D117" i="32"/>
  <c r="G19" i="8" s="1"/>
  <c r="D75" i="32"/>
  <c r="E19" i="8" s="1"/>
  <c r="D54" i="32"/>
  <c r="D19" i="8" s="1"/>
  <c r="C28" i="32" l="1"/>
  <c r="C23" i="32"/>
  <c r="D27" i="32"/>
  <c r="D22" i="32"/>
  <c r="B42" i="11" l="1"/>
  <c r="B39" i="11"/>
  <c r="B36" i="11"/>
  <c r="B33" i="11"/>
  <c r="B30" i="11"/>
  <c r="B27" i="11"/>
  <c r="B24" i="11"/>
  <c r="B44" i="19" l="1"/>
  <c r="B43" i="19"/>
  <c r="B42" i="19"/>
  <c r="B41" i="19"/>
  <c r="B50" i="19"/>
  <c r="B25" i="19"/>
  <c r="P43" i="11"/>
  <c r="P40" i="11"/>
  <c r="P37" i="11"/>
  <c r="P34" i="11"/>
  <c r="P31" i="11"/>
  <c r="P28" i="11"/>
  <c r="P25" i="11"/>
  <c r="E36" i="14"/>
  <c r="G36" i="14"/>
  <c r="H36" i="14"/>
  <c r="I36" i="14"/>
  <c r="J36" i="14"/>
  <c r="K36" i="14"/>
  <c r="L36" i="14"/>
  <c r="M36" i="14"/>
  <c r="N36" i="14"/>
  <c r="O36" i="14"/>
  <c r="D36" i="14"/>
  <c r="E33" i="14"/>
  <c r="F33" i="14"/>
  <c r="G33" i="14"/>
  <c r="H33" i="14"/>
  <c r="I33" i="14"/>
  <c r="J33" i="14"/>
  <c r="K33" i="14"/>
  <c r="L33" i="14"/>
  <c r="M33" i="14"/>
  <c r="N33" i="14"/>
  <c r="O33" i="14"/>
  <c r="D33" i="14"/>
  <c r="E30" i="14"/>
  <c r="F30" i="14"/>
  <c r="G30" i="14"/>
  <c r="H30" i="14"/>
  <c r="I30" i="14"/>
  <c r="J30" i="14"/>
  <c r="K30" i="14"/>
  <c r="L30" i="14"/>
  <c r="M30" i="14"/>
  <c r="N30" i="14"/>
  <c r="O30" i="14"/>
  <c r="D30" i="14"/>
  <c r="E27" i="14"/>
  <c r="F27" i="14"/>
  <c r="G27" i="14"/>
  <c r="H27" i="14"/>
  <c r="I27" i="14"/>
  <c r="J27" i="14"/>
  <c r="K27" i="14"/>
  <c r="L27" i="14"/>
  <c r="M27" i="14"/>
  <c r="N27" i="14"/>
  <c r="O27" i="14"/>
  <c r="D27" i="14"/>
  <c r="E24" i="14"/>
  <c r="F24" i="14"/>
  <c r="G24" i="14"/>
  <c r="H24" i="14"/>
  <c r="I24" i="14"/>
  <c r="J24" i="14"/>
  <c r="K24" i="14"/>
  <c r="L24" i="14"/>
  <c r="M24" i="14"/>
  <c r="N24" i="14"/>
  <c r="O24" i="14"/>
  <c r="D24" i="14"/>
  <c r="E21" i="14"/>
  <c r="F21" i="14"/>
  <c r="G21" i="14"/>
  <c r="H21" i="14"/>
  <c r="I21" i="14"/>
  <c r="J21" i="14"/>
  <c r="K21" i="14"/>
  <c r="L21" i="14"/>
  <c r="M21" i="14"/>
  <c r="N21" i="14"/>
  <c r="O21" i="14"/>
  <c r="D21" i="14"/>
  <c r="E18" i="14"/>
  <c r="F18" i="14"/>
  <c r="G18" i="14"/>
  <c r="H18" i="14"/>
  <c r="I18" i="14"/>
  <c r="J18" i="14"/>
  <c r="K18" i="14"/>
  <c r="L18" i="14"/>
  <c r="M18" i="14"/>
  <c r="N18" i="14"/>
  <c r="O18" i="14"/>
  <c r="D18" i="14"/>
  <c r="D16" i="34" l="1"/>
  <c r="E16" i="34"/>
  <c r="F16" i="34"/>
  <c r="G16" i="34"/>
  <c r="H16" i="34"/>
  <c r="I16" i="34"/>
  <c r="C16" i="34"/>
  <c r="D8" i="34" l="1"/>
  <c r="E8" i="34"/>
  <c r="F8" i="34"/>
  <c r="G8" i="34"/>
  <c r="H8" i="34"/>
  <c r="I8" i="34"/>
  <c r="C8" i="34"/>
  <c r="C26" i="32" l="1"/>
  <c r="C21" i="32"/>
  <c r="C19" i="32"/>
  <c r="C31" i="32"/>
  <c r="C24" i="32"/>
  <c r="C29" i="32" l="1"/>
  <c r="P20" i="3" l="1"/>
  <c r="P26" i="11" l="1"/>
  <c r="D21" i="11" s="1"/>
  <c r="R31" i="14"/>
  <c r="R28" i="14"/>
  <c r="R25" i="14"/>
  <c r="R22" i="14"/>
  <c r="R19" i="14"/>
  <c r="R16" i="14"/>
  <c r="E22" i="8" l="1"/>
  <c r="H105" i="27"/>
  <c r="H104" i="27"/>
  <c r="H101" i="27"/>
  <c r="H100" i="27"/>
  <c r="F105" i="27"/>
  <c r="F104" i="27"/>
  <c r="F103" i="27"/>
  <c r="F101" i="27"/>
  <c r="F100" i="27"/>
  <c r="H91" i="27"/>
  <c r="H90" i="27"/>
  <c r="H87" i="27"/>
  <c r="H86" i="27"/>
  <c r="F91" i="27"/>
  <c r="F90" i="27"/>
  <c r="F89" i="27"/>
  <c r="F87" i="27"/>
  <c r="F86" i="27"/>
  <c r="H77" i="27"/>
  <c r="H76" i="27"/>
  <c r="H73" i="27"/>
  <c r="H72" i="27"/>
  <c r="F77" i="27"/>
  <c r="F76" i="27"/>
  <c r="F75" i="27"/>
  <c r="F73" i="27"/>
  <c r="F72" i="27"/>
  <c r="H63" i="27"/>
  <c r="H62" i="27"/>
  <c r="H59" i="27"/>
  <c r="H58" i="27"/>
  <c r="F63" i="27"/>
  <c r="F62" i="27"/>
  <c r="F61" i="27"/>
  <c r="F59" i="27"/>
  <c r="F58" i="27"/>
  <c r="H49" i="27"/>
  <c r="H48" i="27"/>
  <c r="H45" i="27"/>
  <c r="H44" i="27"/>
  <c r="F49" i="27"/>
  <c r="F48" i="27"/>
  <c r="F47" i="27"/>
  <c r="F45" i="27"/>
  <c r="F44" i="27"/>
  <c r="H35" i="27"/>
  <c r="H34" i="27"/>
  <c r="H31" i="27"/>
  <c r="H30" i="27"/>
  <c r="F35" i="27"/>
  <c r="F34" i="27"/>
  <c r="F33" i="27"/>
  <c r="F31" i="27"/>
  <c r="F30" i="27"/>
  <c r="D312" i="17"/>
  <c r="D319" i="17" s="1"/>
  <c r="J75" i="27" s="1"/>
  <c r="D314" i="17"/>
  <c r="D321" i="17" s="1"/>
  <c r="J103" i="27" s="1"/>
  <c r="D313" i="17"/>
  <c r="D320" i="17" s="1"/>
  <c r="J89" i="27" s="1"/>
  <c r="D291" i="17"/>
  <c r="J100" i="27" s="1"/>
  <c r="D290" i="17"/>
  <c r="J86" i="27" s="1"/>
  <c r="D289" i="17"/>
  <c r="J72" i="27" s="1"/>
  <c r="D305" i="17"/>
  <c r="J101" i="27" s="1"/>
  <c r="D304" i="17"/>
  <c r="J87" i="27" s="1"/>
  <c r="D303" i="17"/>
  <c r="J73" i="27" s="1"/>
  <c r="D302" i="17"/>
  <c r="J59" i="27" s="1"/>
  <c r="D301" i="17"/>
  <c r="J45" i="27" s="1"/>
  <c r="D300" i="17"/>
  <c r="J31" i="27" s="1"/>
  <c r="D299" i="17"/>
  <c r="J17" i="27" s="1"/>
  <c r="H21" i="27"/>
  <c r="H20" i="27"/>
  <c r="H17" i="27"/>
  <c r="D288" i="17"/>
  <c r="J58" i="27" s="1"/>
  <c r="D287" i="17"/>
  <c r="J44" i="27" s="1"/>
  <c r="D286" i="17"/>
  <c r="J30" i="27" s="1"/>
  <c r="D285" i="17"/>
  <c r="J16" i="27" s="1"/>
  <c r="H16" i="27"/>
  <c r="F21" i="27"/>
  <c r="F20" i="27"/>
  <c r="F19" i="27"/>
  <c r="F17" i="27"/>
  <c r="F16" i="27"/>
  <c r="E99" i="16"/>
  <c r="E97" i="16"/>
  <c r="E96" i="16"/>
  <c r="E95" i="16"/>
  <c r="E94" i="16"/>
  <c r="E86" i="16"/>
  <c r="E84" i="16"/>
  <c r="E83" i="16"/>
  <c r="E82" i="16"/>
  <c r="E81" i="16"/>
  <c r="E73" i="16"/>
  <c r="E71" i="16"/>
  <c r="E70" i="16"/>
  <c r="E69" i="16"/>
  <c r="E68" i="16"/>
  <c r="E60" i="16"/>
  <c r="E58" i="16"/>
  <c r="E57" i="16"/>
  <c r="E56" i="16"/>
  <c r="E55" i="16"/>
  <c r="E47" i="16"/>
  <c r="E45" i="16"/>
  <c r="E44" i="16"/>
  <c r="E43" i="16"/>
  <c r="E42" i="16"/>
  <c r="E34" i="16"/>
  <c r="E32" i="16"/>
  <c r="E31" i="16"/>
  <c r="E30" i="16"/>
  <c r="E29" i="16"/>
  <c r="E21" i="16"/>
  <c r="E19" i="16"/>
  <c r="E18" i="16"/>
  <c r="E17" i="16"/>
  <c r="K21" i="27" l="1"/>
  <c r="K20" i="27"/>
  <c r="K17" i="27"/>
  <c r="H75" i="27"/>
  <c r="H103" i="27"/>
  <c r="H89" i="27"/>
  <c r="E22" i="16"/>
  <c r="B17" i="19" l="1"/>
  <c r="B9" i="19"/>
  <c r="P27" i="11" l="1"/>
  <c r="E20" i="11" s="1"/>
  <c r="P29" i="11"/>
  <c r="P30" i="11"/>
  <c r="F20" i="11" s="1"/>
  <c r="P32" i="11"/>
  <c r="P33" i="11"/>
  <c r="G20" i="11" s="1"/>
  <c r="P35" i="11"/>
  <c r="P36" i="11"/>
  <c r="H20" i="11" s="1"/>
  <c r="P38" i="11"/>
  <c r="P39" i="11"/>
  <c r="I20" i="11" s="1"/>
  <c r="P41" i="11"/>
  <c r="P42" i="11"/>
  <c r="J20" i="11" s="1"/>
  <c r="P44" i="11"/>
  <c r="P199" i="15" s="1"/>
  <c r="H21" i="11" l="1"/>
  <c r="E21" i="11"/>
  <c r="G21" i="11"/>
  <c r="J21" i="11"/>
  <c r="F21" i="11"/>
  <c r="I21" i="11"/>
  <c r="P172" i="15" l="1"/>
  <c r="P27" i="2"/>
  <c r="P27" i="3"/>
  <c r="P21" i="3"/>
  <c r="P21" i="2"/>
  <c r="P91" i="15"/>
  <c r="P29" i="2"/>
  <c r="P29" i="3"/>
  <c r="P118" i="15"/>
  <c r="P23" i="3"/>
  <c r="P23" i="2"/>
  <c r="P145" i="15"/>
  <c r="P25" i="3"/>
  <c r="P25" i="2"/>
  <c r="P64" i="15"/>
  <c r="E54" i="30"/>
  <c r="E35" i="30"/>
  <c r="D145" i="17" l="1"/>
  <c r="D144" i="17"/>
  <c r="D143" i="17"/>
  <c r="C32" i="32" l="1"/>
  <c r="D32" i="32" s="1"/>
  <c r="D33" i="32" l="1"/>
  <c r="C19" i="8" s="1"/>
  <c r="D6" i="5" l="1"/>
  <c r="D29" i="5" l="1"/>
  <c r="D74" i="5"/>
  <c r="D56" i="5"/>
  <c r="D65" i="5"/>
  <c r="D47" i="5"/>
  <c r="D38" i="5"/>
  <c r="D20" i="5"/>
  <c r="D17" i="5" l="1"/>
  <c r="P16" i="2"/>
  <c r="P17" i="2" s="1"/>
  <c r="C9" i="19" l="1"/>
  <c r="C13" i="8"/>
  <c r="B16" i="32"/>
  <c r="D372" i="17" l="1"/>
  <c r="D5" i="5" l="1"/>
  <c r="D18" i="5" s="1"/>
  <c r="G6" i="15"/>
  <c r="D158" i="15" s="1"/>
  <c r="C7" i="8"/>
  <c r="AA20" i="8" s="1"/>
  <c r="P16" i="14"/>
  <c r="P16" i="3"/>
  <c r="P17" i="3" s="1"/>
  <c r="F35" i="30"/>
  <c r="E36" i="30"/>
  <c r="F36" i="30" s="1"/>
  <c r="E37" i="30"/>
  <c r="F37" i="30" s="1"/>
  <c r="E38" i="30"/>
  <c r="F38" i="30" s="1"/>
  <c r="E39" i="30"/>
  <c r="F39" i="30" s="1"/>
  <c r="E40" i="30"/>
  <c r="F40" i="30" s="1"/>
  <c r="E41" i="30"/>
  <c r="F41" i="30" s="1"/>
  <c r="E42" i="30"/>
  <c r="F42" i="30" s="1"/>
  <c r="E43" i="30"/>
  <c r="F43" i="30" s="1"/>
  <c r="E44" i="30"/>
  <c r="F44" i="30" s="1"/>
  <c r="E45" i="30"/>
  <c r="F45" i="30" s="1"/>
  <c r="F54" i="30"/>
  <c r="E55" i="30"/>
  <c r="F55" i="30" s="1"/>
  <c r="E56" i="30"/>
  <c r="F56" i="30" s="1"/>
  <c r="E57" i="30"/>
  <c r="F57" i="30" s="1"/>
  <c r="E58" i="30"/>
  <c r="F58" i="30" s="1"/>
  <c r="E59" i="30"/>
  <c r="F59" i="30" s="1"/>
  <c r="E60" i="30"/>
  <c r="F60" i="30" s="1"/>
  <c r="E61" i="30"/>
  <c r="F61" i="30" s="1"/>
  <c r="E62" i="30"/>
  <c r="F62" i="30" s="1"/>
  <c r="E63" i="30"/>
  <c r="F63" i="30" s="1"/>
  <c r="E64" i="30"/>
  <c r="F64" i="30" s="1"/>
  <c r="E73" i="30"/>
  <c r="F73" i="30" s="1"/>
  <c r="E74" i="30"/>
  <c r="F74" i="30" s="1"/>
  <c r="E75" i="30"/>
  <c r="F75" i="30" s="1"/>
  <c r="E76" i="30"/>
  <c r="F76" i="30" s="1"/>
  <c r="E77" i="30"/>
  <c r="F77" i="30" s="1"/>
  <c r="E78" i="30"/>
  <c r="F78" i="30" s="1"/>
  <c r="E79" i="30"/>
  <c r="F79" i="30" s="1"/>
  <c r="E80" i="30"/>
  <c r="F80" i="30" s="1"/>
  <c r="E81" i="30"/>
  <c r="F81" i="30" s="1"/>
  <c r="E82" i="30"/>
  <c r="F82" i="30" s="1"/>
  <c r="E83" i="30"/>
  <c r="F83" i="30" s="1"/>
  <c r="E92" i="30"/>
  <c r="F92" i="30" s="1"/>
  <c r="E93" i="30"/>
  <c r="F93" i="30" s="1"/>
  <c r="E94" i="30"/>
  <c r="F94" i="30" s="1"/>
  <c r="E95" i="30"/>
  <c r="F95" i="30" s="1"/>
  <c r="E96" i="30"/>
  <c r="F96" i="30" s="1"/>
  <c r="E97" i="30"/>
  <c r="F97" i="30" s="1"/>
  <c r="E98" i="30"/>
  <c r="F98" i="30" s="1"/>
  <c r="E99" i="30"/>
  <c r="F99" i="30" s="1"/>
  <c r="E100" i="30"/>
  <c r="F100" i="30" s="1"/>
  <c r="E101" i="30"/>
  <c r="F101" i="30" s="1"/>
  <c r="E102" i="30"/>
  <c r="F102" i="30" s="1"/>
  <c r="E111" i="30"/>
  <c r="F111" i="30" s="1"/>
  <c r="E112" i="30"/>
  <c r="F112" i="30" s="1"/>
  <c r="E113" i="30"/>
  <c r="F113" i="30" s="1"/>
  <c r="E114" i="30"/>
  <c r="F114" i="30" s="1"/>
  <c r="E115" i="30"/>
  <c r="F115" i="30" s="1"/>
  <c r="E116" i="30"/>
  <c r="F116" i="30" s="1"/>
  <c r="E117" i="30"/>
  <c r="F117" i="30" s="1"/>
  <c r="E118" i="30"/>
  <c r="F118" i="30" s="1"/>
  <c r="E119" i="30"/>
  <c r="F119" i="30" s="1"/>
  <c r="E120" i="30"/>
  <c r="F120" i="30" s="1"/>
  <c r="E121" i="30"/>
  <c r="F121" i="30" s="1"/>
  <c r="E130" i="30"/>
  <c r="F130" i="30" s="1"/>
  <c r="E131" i="30"/>
  <c r="F131" i="30" s="1"/>
  <c r="E132" i="30"/>
  <c r="F132" i="30" s="1"/>
  <c r="E133" i="30"/>
  <c r="F133" i="30" s="1"/>
  <c r="E134" i="30"/>
  <c r="F134" i="30" s="1"/>
  <c r="E135" i="30"/>
  <c r="F135" i="30" s="1"/>
  <c r="E136" i="30"/>
  <c r="F136" i="30" s="1"/>
  <c r="E137" i="30"/>
  <c r="F137" i="30" s="1"/>
  <c r="E138" i="30"/>
  <c r="F138" i="30" s="1"/>
  <c r="E139" i="30"/>
  <c r="F139" i="30" s="1"/>
  <c r="E140" i="30"/>
  <c r="F140" i="30" s="1"/>
  <c r="E16" i="30"/>
  <c r="F16" i="30" s="1"/>
  <c r="E17" i="30"/>
  <c r="F17" i="30" s="1"/>
  <c r="E18" i="30"/>
  <c r="F18" i="30" s="1"/>
  <c r="E19" i="30"/>
  <c r="F19" i="30" s="1"/>
  <c r="E20" i="30"/>
  <c r="F20" i="30" s="1"/>
  <c r="E21" i="30"/>
  <c r="F21" i="30" s="1"/>
  <c r="E22" i="30"/>
  <c r="F22" i="30" s="1"/>
  <c r="E23" i="30"/>
  <c r="F23" i="30" s="1"/>
  <c r="E24" i="30"/>
  <c r="F24" i="30" s="1"/>
  <c r="E25" i="30"/>
  <c r="F25" i="30" s="1"/>
  <c r="E26" i="30"/>
  <c r="F26" i="30" s="1"/>
  <c r="P28" i="3"/>
  <c r="P26" i="3"/>
  <c r="P24" i="3"/>
  <c r="P22" i="3"/>
  <c r="P18" i="3"/>
  <c r="P19" i="3" s="1"/>
  <c r="I10" i="19"/>
  <c r="G10" i="19"/>
  <c r="E10" i="19"/>
  <c r="D142" i="17"/>
  <c r="D141" i="17"/>
  <c r="D140" i="17"/>
  <c r="D139" i="17"/>
  <c r="D311" i="17"/>
  <c r="H61" i="27" s="1"/>
  <c r="D310" i="17"/>
  <c r="H47" i="27" s="1"/>
  <c r="D309" i="17"/>
  <c r="H33" i="27" s="1"/>
  <c r="D308" i="17"/>
  <c r="D315" i="17" s="1"/>
  <c r="J19" i="27" s="1"/>
  <c r="P34" i="14"/>
  <c r="P180" i="15"/>
  <c r="D185" i="15"/>
  <c r="P153" i="15"/>
  <c r="P126" i="15"/>
  <c r="P99" i="15"/>
  <c r="P72" i="15"/>
  <c r="D50" i="15"/>
  <c r="P45" i="15"/>
  <c r="G5" i="15"/>
  <c r="D128" i="15" s="1"/>
  <c r="G7" i="15"/>
  <c r="D161" i="15" s="1"/>
  <c r="G4" i="15"/>
  <c r="O17" i="15" s="1"/>
  <c r="F50" i="15"/>
  <c r="L47" i="15"/>
  <c r="E185" i="15"/>
  <c r="E188" i="15"/>
  <c r="F185" i="15"/>
  <c r="G188" i="15"/>
  <c r="H185" i="15"/>
  <c r="I185" i="15"/>
  <c r="J185" i="15"/>
  <c r="K188" i="15"/>
  <c r="L185" i="15"/>
  <c r="M185" i="15"/>
  <c r="M188" i="15"/>
  <c r="N185" i="15"/>
  <c r="F158" i="15"/>
  <c r="H158" i="15"/>
  <c r="H152" i="15"/>
  <c r="J158" i="15"/>
  <c r="L158" i="15"/>
  <c r="N158" i="15"/>
  <c r="N152" i="15"/>
  <c r="E131" i="15"/>
  <c r="F134" i="15"/>
  <c r="H128" i="15"/>
  <c r="H134" i="15"/>
  <c r="I131" i="15"/>
  <c r="K131" i="15"/>
  <c r="L134" i="15"/>
  <c r="M131" i="15"/>
  <c r="N134" i="15"/>
  <c r="N125" i="15"/>
  <c r="E104" i="15"/>
  <c r="E101" i="15"/>
  <c r="F101" i="15"/>
  <c r="G104" i="15"/>
  <c r="G107" i="15"/>
  <c r="H101" i="15"/>
  <c r="I107" i="15"/>
  <c r="K104" i="15"/>
  <c r="K107" i="15"/>
  <c r="M104" i="15"/>
  <c r="M101" i="15"/>
  <c r="O104" i="15"/>
  <c r="E77" i="15"/>
  <c r="F77" i="15"/>
  <c r="F80" i="15"/>
  <c r="G77" i="15"/>
  <c r="H80" i="15"/>
  <c r="I77" i="15"/>
  <c r="J77" i="15"/>
  <c r="J74" i="15"/>
  <c r="J80" i="15"/>
  <c r="L77" i="15"/>
  <c r="L74" i="15"/>
  <c r="M77" i="15"/>
  <c r="N77" i="15"/>
  <c r="O77" i="15"/>
  <c r="D20" i="15"/>
  <c r="G8" i="15"/>
  <c r="L57" i="15" s="1"/>
  <c r="P48" i="15"/>
  <c r="P51" i="15"/>
  <c r="P54" i="15"/>
  <c r="P58" i="15"/>
  <c r="P61" i="15"/>
  <c r="P196" i="15"/>
  <c r="P169" i="15"/>
  <c r="P142" i="15"/>
  <c r="P115" i="15"/>
  <c r="P88" i="15"/>
  <c r="P193" i="15"/>
  <c r="P166" i="15"/>
  <c r="P139" i="15"/>
  <c r="P112" i="15"/>
  <c r="P85" i="15"/>
  <c r="P189" i="15"/>
  <c r="P162" i="15"/>
  <c r="P135" i="15"/>
  <c r="P108" i="15"/>
  <c r="P81" i="15"/>
  <c r="P186" i="15"/>
  <c r="P159" i="15"/>
  <c r="P132" i="15"/>
  <c r="P105" i="15"/>
  <c r="P78" i="15"/>
  <c r="P183" i="15"/>
  <c r="P156" i="15"/>
  <c r="P129" i="15"/>
  <c r="P102" i="15"/>
  <c r="P75" i="15"/>
  <c r="I33" i="15"/>
  <c r="F23" i="15"/>
  <c r="F20" i="15"/>
  <c r="G20" i="15"/>
  <c r="G26" i="15"/>
  <c r="G17" i="15"/>
  <c r="I20" i="15"/>
  <c r="I26" i="15"/>
  <c r="J23" i="15"/>
  <c r="J26" i="15"/>
  <c r="K20" i="15"/>
  <c r="L20" i="15"/>
  <c r="M23" i="15"/>
  <c r="M26" i="15"/>
  <c r="N23" i="15"/>
  <c r="O20" i="15"/>
  <c r="O26" i="15"/>
  <c r="P16" i="15"/>
  <c r="P34" i="15"/>
  <c r="P31" i="15"/>
  <c r="P27" i="15"/>
  <c r="P24" i="15"/>
  <c r="P21" i="15"/>
  <c r="P18" i="15"/>
  <c r="E26" i="19"/>
  <c r="B93" i="16"/>
  <c r="E98" i="16"/>
  <c r="B80" i="16"/>
  <c r="E85" i="16"/>
  <c r="B67" i="16"/>
  <c r="B54" i="16"/>
  <c r="B41" i="16"/>
  <c r="B28" i="16"/>
  <c r="E72" i="16"/>
  <c r="E59" i="16"/>
  <c r="E46" i="16"/>
  <c r="E33" i="16"/>
  <c r="E20" i="16"/>
  <c r="J102" i="27"/>
  <c r="J88" i="27"/>
  <c r="J74" i="27"/>
  <c r="J60" i="27"/>
  <c r="J46" i="27"/>
  <c r="J32" i="27"/>
  <c r="H102" i="27"/>
  <c r="H88" i="27"/>
  <c r="H74" i="27"/>
  <c r="H60" i="27"/>
  <c r="H46" i="27"/>
  <c r="H32" i="27"/>
  <c r="F102" i="27"/>
  <c r="F88" i="27"/>
  <c r="F74" i="27"/>
  <c r="F60" i="27"/>
  <c r="F46" i="27"/>
  <c r="F32" i="27"/>
  <c r="J18" i="27"/>
  <c r="H18" i="27"/>
  <c r="F18" i="27"/>
  <c r="B129" i="30"/>
  <c r="B110" i="30"/>
  <c r="B91" i="30"/>
  <c r="B72" i="30"/>
  <c r="B53" i="30"/>
  <c r="B34" i="30"/>
  <c r="B15" i="30"/>
  <c r="P18" i="2"/>
  <c r="P19" i="2" s="1"/>
  <c r="P19" i="14"/>
  <c r="P20" i="2"/>
  <c r="E13" i="8" s="1"/>
  <c r="P22" i="14"/>
  <c r="P22" i="2"/>
  <c r="P25" i="14"/>
  <c r="P24" i="2"/>
  <c r="P28" i="14"/>
  <c r="P26" i="2"/>
  <c r="H13" i="8" s="1"/>
  <c r="P31" i="14"/>
  <c r="P28" i="2"/>
  <c r="I13" i="8" s="1"/>
  <c r="D26" i="5"/>
  <c r="D35" i="5"/>
  <c r="D44" i="5"/>
  <c r="D53" i="5"/>
  <c r="D62" i="5"/>
  <c r="D71" i="5"/>
  <c r="D7" i="8"/>
  <c r="AB20" i="8" s="1"/>
  <c r="E7" i="8"/>
  <c r="AC20" i="8" s="1"/>
  <c r="F7" i="8"/>
  <c r="AD20" i="8" s="1"/>
  <c r="G7" i="8"/>
  <c r="AE20" i="8" s="1"/>
  <c r="H7" i="8"/>
  <c r="AF20" i="8" s="1"/>
  <c r="I7" i="8"/>
  <c r="AG20" i="8" s="1"/>
  <c r="B100" i="27"/>
  <c r="B86" i="27"/>
  <c r="B72" i="27"/>
  <c r="B58" i="27"/>
  <c r="B44" i="27"/>
  <c r="B30" i="27"/>
  <c r="B16" i="27"/>
  <c r="I12" i="8"/>
  <c r="I28" i="8" s="1"/>
  <c r="I18" i="8"/>
  <c r="C12" i="8"/>
  <c r="C28" i="8" s="1"/>
  <c r="C18" i="8"/>
  <c r="D12" i="8"/>
  <c r="D28" i="8" s="1"/>
  <c r="D18" i="8"/>
  <c r="E12" i="8"/>
  <c r="E28" i="8" s="1"/>
  <c r="E18" i="8"/>
  <c r="G12" i="8"/>
  <c r="G28" i="8" s="1"/>
  <c r="G18" i="8"/>
  <c r="H12" i="8"/>
  <c r="H28" i="8" s="1"/>
  <c r="H18" i="8"/>
  <c r="F12" i="8"/>
  <c r="F28" i="8" s="1"/>
  <c r="F18" i="8"/>
  <c r="P194" i="15"/>
  <c r="P191" i="15"/>
  <c r="P187" i="15"/>
  <c r="P184" i="15"/>
  <c r="P181" i="15"/>
  <c r="P178" i="15"/>
  <c r="P167" i="15"/>
  <c r="P164" i="15"/>
  <c r="P160" i="15"/>
  <c r="P157" i="15"/>
  <c r="P154" i="15"/>
  <c r="P151" i="15"/>
  <c r="P140" i="15"/>
  <c r="P137" i="15"/>
  <c r="P133" i="15"/>
  <c r="P130" i="15"/>
  <c r="P127" i="15"/>
  <c r="P124" i="15"/>
  <c r="P113" i="15"/>
  <c r="P110" i="15"/>
  <c r="P106" i="15"/>
  <c r="P103" i="15"/>
  <c r="P100" i="15"/>
  <c r="P97" i="15"/>
  <c r="P79" i="15"/>
  <c r="P76" i="15"/>
  <c r="P73" i="15"/>
  <c r="P70" i="15"/>
  <c r="P86" i="15"/>
  <c r="P83" i="15"/>
  <c r="P59" i="15"/>
  <c r="P56" i="15"/>
  <c r="B43" i="15"/>
  <c r="B16" i="15"/>
  <c r="P46" i="15"/>
  <c r="P29" i="15"/>
  <c r="P32" i="15"/>
  <c r="P19" i="15"/>
  <c r="D40" i="19"/>
  <c r="E40" i="19"/>
  <c r="F40" i="19"/>
  <c r="G40" i="19"/>
  <c r="H40" i="19"/>
  <c r="I40" i="19"/>
  <c r="C40" i="19"/>
  <c r="D32" i="19"/>
  <c r="E32" i="19"/>
  <c r="F32" i="19"/>
  <c r="G32" i="19"/>
  <c r="H32" i="19"/>
  <c r="I32" i="19"/>
  <c r="C32" i="19"/>
  <c r="D24" i="19"/>
  <c r="E24" i="19"/>
  <c r="F24" i="19"/>
  <c r="G24" i="19"/>
  <c r="H24" i="19"/>
  <c r="I24" i="19"/>
  <c r="C24" i="19"/>
  <c r="D16" i="19"/>
  <c r="E16" i="19"/>
  <c r="F16" i="19"/>
  <c r="G16" i="19"/>
  <c r="H16" i="19"/>
  <c r="I16" i="19"/>
  <c r="C16" i="19"/>
  <c r="D8" i="19"/>
  <c r="E8" i="19"/>
  <c r="F8" i="19"/>
  <c r="G8" i="19"/>
  <c r="H8" i="19"/>
  <c r="I8" i="19"/>
  <c r="C8" i="19"/>
  <c r="B178" i="15"/>
  <c r="B151" i="15"/>
  <c r="B124" i="15"/>
  <c r="B97" i="15"/>
  <c r="B70" i="15"/>
  <c r="B70" i="5"/>
  <c r="B61" i="5"/>
  <c r="B52" i="5"/>
  <c r="B43" i="5"/>
  <c r="B34" i="5"/>
  <c r="B25" i="5"/>
  <c r="B16" i="5"/>
  <c r="B28" i="3"/>
  <c r="B26" i="3"/>
  <c r="B24" i="3"/>
  <c r="B22" i="3"/>
  <c r="B20" i="3"/>
  <c r="B18" i="3"/>
  <c r="B16" i="3"/>
  <c r="B34" i="14"/>
  <c r="B31" i="14"/>
  <c r="B28" i="14"/>
  <c r="B25" i="14"/>
  <c r="B22" i="14"/>
  <c r="B19" i="14"/>
  <c r="B16" i="14"/>
  <c r="B28" i="2"/>
  <c r="B26" i="2"/>
  <c r="B24" i="2"/>
  <c r="B22" i="2"/>
  <c r="B20" i="2"/>
  <c r="B18" i="2"/>
  <c r="B16" i="2"/>
  <c r="B15" i="16"/>
  <c r="P52" i="15"/>
  <c r="E1048563" i="17"/>
  <c r="P43" i="15"/>
  <c r="P49" i="15"/>
  <c r="P22" i="15"/>
  <c r="P25" i="15"/>
  <c r="E141" i="15"/>
  <c r="O114" i="15"/>
  <c r="E165" i="15"/>
  <c r="I111" i="15"/>
  <c r="K165" i="15"/>
  <c r="H141" i="15"/>
  <c r="M87" i="15"/>
  <c r="K18" i="27" l="1"/>
  <c r="P17" i="14"/>
  <c r="P18" i="14"/>
  <c r="C18" i="19" s="1"/>
  <c r="C33" i="19"/>
  <c r="C34" i="19" s="1"/>
  <c r="C23" i="8"/>
  <c r="P20" i="14"/>
  <c r="P21" i="14"/>
  <c r="D18" i="19" s="1"/>
  <c r="P36" i="14"/>
  <c r="I18" i="19" s="1"/>
  <c r="P35" i="14"/>
  <c r="P33" i="14"/>
  <c r="H18" i="19" s="1"/>
  <c r="P32" i="14"/>
  <c r="P30" i="14"/>
  <c r="G18" i="19" s="1"/>
  <c r="P29" i="14"/>
  <c r="P26" i="14"/>
  <c r="P27" i="14"/>
  <c r="F18" i="19" s="1"/>
  <c r="P23" i="14"/>
  <c r="P24" i="14"/>
  <c r="E18" i="19" s="1"/>
  <c r="G14" i="8"/>
  <c r="F14" i="8"/>
  <c r="C14" i="8"/>
  <c r="E14" i="8"/>
  <c r="H14" i="8"/>
  <c r="D13" i="8"/>
  <c r="D25" i="19"/>
  <c r="D22" i="8"/>
  <c r="D26" i="19"/>
  <c r="F22" i="8"/>
  <c r="F26" i="19"/>
  <c r="G22" i="8"/>
  <c r="G26" i="19"/>
  <c r="H25" i="19"/>
  <c r="H22" i="8"/>
  <c r="H26" i="19"/>
  <c r="I22" i="8"/>
  <c r="I26" i="19"/>
  <c r="I25" i="19"/>
  <c r="I17" i="19"/>
  <c r="I14" i="8"/>
  <c r="D17" i="19"/>
  <c r="D14" i="8"/>
  <c r="M98" i="15"/>
  <c r="G98" i="15"/>
  <c r="J44" i="15"/>
  <c r="M71" i="15"/>
  <c r="M152" i="15"/>
  <c r="F152" i="15"/>
  <c r="J53" i="15"/>
  <c r="L125" i="15"/>
  <c r="F125" i="15"/>
  <c r="L152" i="15"/>
  <c r="H44" i="15"/>
  <c r="E152" i="15"/>
  <c r="N44" i="15"/>
  <c r="H53" i="15"/>
  <c r="D17" i="15"/>
  <c r="K134" i="15"/>
  <c r="P134" i="15" s="1"/>
  <c r="G44" i="19" s="1"/>
  <c r="F128" i="15"/>
  <c r="J152" i="15"/>
  <c r="D152" i="15"/>
  <c r="I188" i="15"/>
  <c r="N53" i="15"/>
  <c r="H47" i="15"/>
  <c r="I98" i="15"/>
  <c r="O188" i="15"/>
  <c r="L44" i="15"/>
  <c r="F44" i="15"/>
  <c r="M17" i="15"/>
  <c r="O71" i="15"/>
  <c r="O98" i="15"/>
  <c r="O134" i="15"/>
  <c r="I134" i="15"/>
  <c r="D125" i="15"/>
  <c r="D136" i="15" s="1"/>
  <c r="I152" i="15"/>
  <c r="L53" i="15"/>
  <c r="D104" i="15"/>
  <c r="D131" i="15"/>
  <c r="I195" i="15"/>
  <c r="M20" i="15"/>
  <c r="M28" i="15" s="1"/>
  <c r="I17" i="15"/>
  <c r="F17" i="15"/>
  <c r="D23" i="15"/>
  <c r="L80" i="15"/>
  <c r="I71" i="15"/>
  <c r="E71" i="15"/>
  <c r="M107" i="15"/>
  <c r="J101" i="15"/>
  <c r="G101" i="15"/>
  <c r="O131" i="15"/>
  <c r="L128" i="15"/>
  <c r="H125" i="15"/>
  <c r="E134" i="15"/>
  <c r="M161" i="15"/>
  <c r="I161" i="15"/>
  <c r="E161" i="15"/>
  <c r="L179" i="15"/>
  <c r="H179" i="15"/>
  <c r="D179" i="15"/>
  <c r="L50" i="15"/>
  <c r="H50" i="15"/>
  <c r="I168" i="15"/>
  <c r="O23" i="15"/>
  <c r="O28" i="15" s="1"/>
  <c r="K17" i="15"/>
  <c r="H26" i="15"/>
  <c r="E17" i="15"/>
  <c r="N80" i="15"/>
  <c r="K71" i="15"/>
  <c r="H77" i="15"/>
  <c r="O107" i="15"/>
  <c r="L101" i="15"/>
  <c r="I101" i="15"/>
  <c r="E98" i="15"/>
  <c r="N128" i="15"/>
  <c r="J125" i="15"/>
  <c r="G134" i="15"/>
  <c r="O152" i="15"/>
  <c r="K152" i="15"/>
  <c r="G152" i="15"/>
  <c r="O185" i="15"/>
  <c r="K185" i="15"/>
  <c r="G185" i="15"/>
  <c r="P185" i="15" s="1"/>
  <c r="I43" i="19" s="1"/>
  <c r="N47" i="15"/>
  <c r="J47" i="15"/>
  <c r="E44" i="15"/>
  <c r="D80" i="15"/>
  <c r="H84" i="15"/>
  <c r="J87" i="15"/>
  <c r="N17" i="15"/>
  <c r="K26" i="15"/>
  <c r="H23" i="15"/>
  <c r="E26" i="15"/>
  <c r="N74" i="15"/>
  <c r="K77" i="15"/>
  <c r="G71" i="15"/>
  <c r="O101" i="15"/>
  <c r="K98" i="15"/>
  <c r="K109" i="15" s="1"/>
  <c r="I104" i="15"/>
  <c r="E107" i="15"/>
  <c r="M134" i="15"/>
  <c r="J134" i="15"/>
  <c r="G131" i="15"/>
  <c r="O161" i="15"/>
  <c r="K161" i="15"/>
  <c r="G161" i="15"/>
  <c r="N179" i="15"/>
  <c r="J179" i="15"/>
  <c r="F179" i="15"/>
  <c r="N50" i="15"/>
  <c r="N55" i="15" s="1"/>
  <c r="J50" i="15"/>
  <c r="E50" i="15"/>
  <c r="D165" i="15"/>
  <c r="D33" i="15"/>
  <c r="D30" i="15"/>
  <c r="D195" i="15"/>
  <c r="D60" i="15"/>
  <c r="J128" i="15"/>
  <c r="N101" i="15"/>
  <c r="K101" i="15"/>
  <c r="C25" i="19"/>
  <c r="C26" i="19"/>
  <c r="C22" i="8"/>
  <c r="D318" i="17"/>
  <c r="J61" i="27" s="1"/>
  <c r="D316" i="17"/>
  <c r="J33" i="27" s="1"/>
  <c r="K33" i="27" s="1"/>
  <c r="D317" i="17"/>
  <c r="J47" i="27" s="1"/>
  <c r="K47" i="27" s="1"/>
  <c r="H19" i="27"/>
  <c r="K19" i="27" s="1"/>
  <c r="G9" i="19"/>
  <c r="G13" i="8"/>
  <c r="F9" i="19"/>
  <c r="F13" i="8"/>
  <c r="K104" i="27"/>
  <c r="K31" i="27"/>
  <c r="C15" i="8"/>
  <c r="E88" i="16"/>
  <c r="H15" i="8" s="1"/>
  <c r="G25" i="19"/>
  <c r="F25" i="19"/>
  <c r="E25" i="19"/>
  <c r="E17" i="19"/>
  <c r="F17" i="19"/>
  <c r="N26" i="15"/>
  <c r="L17" i="15"/>
  <c r="K23" i="15"/>
  <c r="I23" i="15"/>
  <c r="G23" i="15"/>
  <c r="G28" i="15" s="1"/>
  <c r="E20" i="15"/>
  <c r="O80" i="15"/>
  <c r="M80" i="15"/>
  <c r="K80" i="15"/>
  <c r="I80" i="15"/>
  <c r="G80" i="15"/>
  <c r="E80" i="15"/>
  <c r="N98" i="15"/>
  <c r="L98" i="15"/>
  <c r="J98" i="15"/>
  <c r="H98" i="15"/>
  <c r="F98" i="15"/>
  <c r="D98" i="15"/>
  <c r="N131" i="15"/>
  <c r="L131" i="15"/>
  <c r="L136" i="15" s="1"/>
  <c r="J131" i="15"/>
  <c r="H131" i="15"/>
  <c r="H136" i="15" s="1"/>
  <c r="F131" i="15"/>
  <c r="F136" i="15" s="1"/>
  <c r="O155" i="15"/>
  <c r="M155" i="15"/>
  <c r="K155" i="15"/>
  <c r="I155" i="15"/>
  <c r="G155" i="15"/>
  <c r="E155" i="15"/>
  <c r="N188" i="15"/>
  <c r="L188" i="15"/>
  <c r="J188" i="15"/>
  <c r="H188" i="15"/>
  <c r="F188" i="15"/>
  <c r="O44" i="15"/>
  <c r="M44" i="15"/>
  <c r="K44" i="15"/>
  <c r="I44" i="15"/>
  <c r="G44" i="15"/>
  <c r="E53" i="15"/>
  <c r="D134" i="15"/>
  <c r="L55" i="15"/>
  <c r="N20" i="15"/>
  <c r="L26" i="15"/>
  <c r="J17" i="15"/>
  <c r="H17" i="15"/>
  <c r="E23" i="15"/>
  <c r="O74" i="15"/>
  <c r="O82" i="15" s="1"/>
  <c r="M74" i="15"/>
  <c r="M82" i="15" s="1"/>
  <c r="K74" i="15"/>
  <c r="I74" i="15"/>
  <c r="I82" i="15" s="1"/>
  <c r="G74" i="15"/>
  <c r="E74" i="15"/>
  <c r="N107" i="15"/>
  <c r="L107" i="15"/>
  <c r="J107" i="15"/>
  <c r="H107" i="15"/>
  <c r="F107" i="15"/>
  <c r="O125" i="15"/>
  <c r="M125" i="15"/>
  <c r="K125" i="15"/>
  <c r="I125" i="15"/>
  <c r="G125" i="15"/>
  <c r="E125" i="15"/>
  <c r="O158" i="15"/>
  <c r="O163" i="15" s="1"/>
  <c r="M158" i="15"/>
  <c r="M163" i="15" s="1"/>
  <c r="K158" i="15"/>
  <c r="K163" i="15" s="1"/>
  <c r="I158" i="15"/>
  <c r="G158" i="15"/>
  <c r="E158" i="15"/>
  <c r="N182" i="15"/>
  <c r="L182" i="15"/>
  <c r="J182" i="15"/>
  <c r="H182" i="15"/>
  <c r="F182" i="15"/>
  <c r="F190" i="15" s="1"/>
  <c r="O53" i="15"/>
  <c r="M53" i="15"/>
  <c r="K53" i="15"/>
  <c r="I53" i="15"/>
  <c r="G53" i="15"/>
  <c r="E47" i="15"/>
  <c r="E55" i="15" s="1"/>
  <c r="D77" i="15"/>
  <c r="P77" i="15" s="1"/>
  <c r="E43" i="19" s="1"/>
  <c r="L190" i="15"/>
  <c r="M47" i="15"/>
  <c r="I47" i="15"/>
  <c r="D155" i="15"/>
  <c r="D163" i="15" s="1"/>
  <c r="N190" i="15"/>
  <c r="O47" i="15"/>
  <c r="K47" i="15"/>
  <c r="G47" i="15"/>
  <c r="L23" i="15"/>
  <c r="J20" i="15"/>
  <c r="H20" i="15"/>
  <c r="F26" i="15"/>
  <c r="N71" i="15"/>
  <c r="L71" i="15"/>
  <c r="L82" i="15" s="1"/>
  <c r="J71" i="15"/>
  <c r="J82" i="15" s="1"/>
  <c r="H71" i="15"/>
  <c r="F71" i="15"/>
  <c r="D71" i="15"/>
  <c r="N104" i="15"/>
  <c r="L104" i="15"/>
  <c r="L109" i="15" s="1"/>
  <c r="J104" i="15"/>
  <c r="H104" i="15"/>
  <c r="H109" i="15" s="1"/>
  <c r="F104" i="15"/>
  <c r="F109" i="15" s="1"/>
  <c r="O128" i="15"/>
  <c r="M128" i="15"/>
  <c r="K128" i="15"/>
  <c r="K136" i="15" s="1"/>
  <c r="I128" i="15"/>
  <c r="G128" i="15"/>
  <c r="E128" i="15"/>
  <c r="N161" i="15"/>
  <c r="L161" i="15"/>
  <c r="J161" i="15"/>
  <c r="H161" i="15"/>
  <c r="F161" i="15"/>
  <c r="F163" i="15" s="1"/>
  <c r="O179" i="15"/>
  <c r="M179" i="15"/>
  <c r="K179" i="15"/>
  <c r="I179" i="15"/>
  <c r="G179" i="15"/>
  <c r="E179" i="15"/>
  <c r="O50" i="15"/>
  <c r="M50" i="15"/>
  <c r="M55" i="15" s="1"/>
  <c r="K50" i="15"/>
  <c r="I50" i="15"/>
  <c r="G50" i="15"/>
  <c r="D44" i="15"/>
  <c r="O109" i="15"/>
  <c r="M109" i="15"/>
  <c r="G109" i="15"/>
  <c r="M136" i="15"/>
  <c r="I136" i="15"/>
  <c r="N155" i="15"/>
  <c r="L155" i="15"/>
  <c r="J155" i="15"/>
  <c r="J163" i="15" s="1"/>
  <c r="H155" i="15"/>
  <c r="H163" i="15" s="1"/>
  <c r="F155" i="15"/>
  <c r="D101" i="15"/>
  <c r="H74" i="15"/>
  <c r="F74" i="15"/>
  <c r="O182" i="15"/>
  <c r="M182" i="15"/>
  <c r="K182" i="15"/>
  <c r="K190" i="15" s="1"/>
  <c r="I182" i="15"/>
  <c r="G182" i="15"/>
  <c r="E182" i="15"/>
  <c r="F47" i="15"/>
  <c r="D47" i="15"/>
  <c r="N111" i="15"/>
  <c r="E192" i="15"/>
  <c r="G138" i="15"/>
  <c r="L195" i="15"/>
  <c r="M195" i="15"/>
  <c r="N141" i="15"/>
  <c r="J57" i="15"/>
  <c r="P152" i="15"/>
  <c r="H41" i="19" s="1"/>
  <c r="F30" i="15"/>
  <c r="D84" i="15"/>
  <c r="K138" i="15"/>
  <c r="H195" i="15"/>
  <c r="F138" i="15"/>
  <c r="K195" i="15"/>
  <c r="G165" i="15"/>
  <c r="O84" i="15"/>
  <c r="E111" i="15"/>
  <c r="H168" i="15"/>
  <c r="I165" i="15"/>
  <c r="I170" i="15" s="1"/>
  <c r="F87" i="15"/>
  <c r="J141" i="15"/>
  <c r="I87" i="15"/>
  <c r="L111" i="15"/>
  <c r="N30" i="15"/>
  <c r="O60" i="15"/>
  <c r="N82" i="15"/>
  <c r="M190" i="15"/>
  <c r="G190" i="15"/>
  <c r="D111" i="15"/>
  <c r="D192" i="15"/>
  <c r="E57" i="15"/>
  <c r="M57" i="15"/>
  <c r="J60" i="15"/>
  <c r="G30" i="15"/>
  <c r="L33" i="15"/>
  <c r="O30" i="15"/>
  <c r="K168" i="15"/>
  <c r="K170" i="15" s="1"/>
  <c r="K171" i="15" s="1"/>
  <c r="F195" i="15"/>
  <c r="I192" i="15"/>
  <c r="I197" i="15" s="1"/>
  <c r="N165" i="15"/>
  <c r="M84" i="15"/>
  <c r="M89" i="15" s="1"/>
  <c r="K141" i="15"/>
  <c r="J195" i="15"/>
  <c r="L114" i="15"/>
  <c r="N168" i="15"/>
  <c r="G111" i="15"/>
  <c r="F168" i="15"/>
  <c r="E87" i="15"/>
  <c r="O141" i="15"/>
  <c r="D141" i="15"/>
  <c r="F57" i="15"/>
  <c r="N57" i="15"/>
  <c r="K60" i="15"/>
  <c r="G33" i="15"/>
  <c r="J30" i="15"/>
  <c r="O33" i="15"/>
  <c r="F84" i="15"/>
  <c r="E195" i="15"/>
  <c r="J138" i="15"/>
  <c r="J143" i="15" s="1"/>
  <c r="O165" i="15"/>
  <c r="F141" i="15"/>
  <c r="F165" i="15"/>
  <c r="E84" i="15"/>
  <c r="O138" i="15"/>
  <c r="O143" i="15" s="1"/>
  <c r="N192" i="15"/>
  <c r="H111" i="15"/>
  <c r="G168" i="15"/>
  <c r="N87" i="15"/>
  <c r="J165" i="15"/>
  <c r="I84" i="15"/>
  <c r="G141" i="15"/>
  <c r="G57" i="15"/>
  <c r="O57" i="15"/>
  <c r="O62" i="15" s="1"/>
  <c r="L60" i="15"/>
  <c r="L62" i="15" s="1"/>
  <c r="L63" i="15" s="1"/>
  <c r="E30" i="15"/>
  <c r="J33" i="15"/>
  <c r="M30" i="15"/>
  <c r="D138" i="15"/>
  <c r="D57" i="15"/>
  <c r="H57" i="15"/>
  <c r="E60" i="15"/>
  <c r="M60" i="15"/>
  <c r="E33" i="15"/>
  <c r="H30" i="15"/>
  <c r="M33" i="15"/>
  <c r="N84" i="15"/>
  <c r="K111" i="15"/>
  <c r="H138" i="15"/>
  <c r="H143" i="15" s="1"/>
  <c r="H144" i="15" s="1"/>
  <c r="O192" i="15"/>
  <c r="M114" i="15"/>
  <c r="O168" i="15"/>
  <c r="G87" i="15"/>
  <c r="I141" i="15"/>
  <c r="J84" i="15"/>
  <c r="J89" i="15" s="1"/>
  <c r="L138" i="15"/>
  <c r="G195" i="15"/>
  <c r="I114" i="15"/>
  <c r="I116" i="15" s="1"/>
  <c r="D87" i="15"/>
  <c r="I57" i="15"/>
  <c r="F60" i="15"/>
  <c r="N60" i="15"/>
  <c r="H33" i="15"/>
  <c r="K30" i="15"/>
  <c r="J168" i="15"/>
  <c r="J192" i="15"/>
  <c r="N114" i="15"/>
  <c r="G192" i="15"/>
  <c r="G197" i="15" s="1"/>
  <c r="E114" i="15"/>
  <c r="L165" i="15"/>
  <c r="K84" i="15"/>
  <c r="M138" i="15"/>
  <c r="O195" i="15"/>
  <c r="J114" i="15"/>
  <c r="K192" i="15"/>
  <c r="M111" i="15"/>
  <c r="K57" i="15"/>
  <c r="H60" i="15"/>
  <c r="F33" i="15"/>
  <c r="I30" i="15"/>
  <c r="I35" i="15" s="1"/>
  <c r="N33" i="15"/>
  <c r="G114" i="15"/>
  <c r="H114" i="15"/>
  <c r="M141" i="15"/>
  <c r="H192" i="15"/>
  <c r="J111" i="15"/>
  <c r="M165" i="15"/>
  <c r="H87" i="15"/>
  <c r="H89" i="15" s="1"/>
  <c r="N138" i="15"/>
  <c r="M192" i="15"/>
  <c r="M197" i="15" s="1"/>
  <c r="K114" i="15"/>
  <c r="L192" i="15"/>
  <c r="L197" i="15" s="1"/>
  <c r="F111" i="15"/>
  <c r="E168" i="15"/>
  <c r="E170" i="15" s="1"/>
  <c r="L87" i="15"/>
  <c r="M168" i="15"/>
  <c r="K87" i="15"/>
  <c r="L168" i="15"/>
  <c r="O111" i="15"/>
  <c r="O116" i="15" s="1"/>
  <c r="O117" i="15" s="1"/>
  <c r="F192" i="15"/>
  <c r="F114" i="15"/>
  <c r="G84" i="15"/>
  <c r="L30" i="15"/>
  <c r="I60" i="15"/>
  <c r="I109" i="15"/>
  <c r="D114" i="15"/>
  <c r="D168" i="15"/>
  <c r="O87" i="15"/>
  <c r="N195" i="15"/>
  <c r="E138" i="15"/>
  <c r="E143" i="15" s="1"/>
  <c r="L84" i="15"/>
  <c r="L141" i="15"/>
  <c r="I138" i="15"/>
  <c r="H165" i="15"/>
  <c r="K33" i="15"/>
  <c r="G60" i="15"/>
  <c r="D188" i="15"/>
  <c r="F53" i="15"/>
  <c r="D74" i="15"/>
  <c r="D26" i="15"/>
  <c r="D182" i="15"/>
  <c r="D53" i="15"/>
  <c r="D107" i="15"/>
  <c r="D63" i="5"/>
  <c r="D54" i="5"/>
  <c r="D36" i="5"/>
  <c r="C17" i="19"/>
  <c r="H17" i="19"/>
  <c r="G17" i="19"/>
  <c r="I9" i="19"/>
  <c r="E9" i="19"/>
  <c r="H9" i="19"/>
  <c r="D9" i="19"/>
  <c r="K62" i="27"/>
  <c r="E62" i="16"/>
  <c r="F15" i="8" s="1"/>
  <c r="K105" i="27"/>
  <c r="D27" i="5"/>
  <c r="E61" i="16"/>
  <c r="F8" i="8" s="1"/>
  <c r="E100" i="16"/>
  <c r="I8" i="8" s="1"/>
  <c r="K48" i="27"/>
  <c r="K77" i="27"/>
  <c r="K76" i="27"/>
  <c r="K91" i="27"/>
  <c r="E36" i="16"/>
  <c r="D15" i="8" s="1"/>
  <c r="E75" i="16"/>
  <c r="G15" i="8" s="1"/>
  <c r="K89" i="27"/>
  <c r="K73" i="27"/>
  <c r="K59" i="27"/>
  <c r="K90" i="27"/>
  <c r="K63" i="27"/>
  <c r="E101" i="16"/>
  <c r="I15" i="8" s="1"/>
  <c r="E74" i="16"/>
  <c r="G8" i="8" s="1"/>
  <c r="E48" i="16"/>
  <c r="E8" i="8" s="1"/>
  <c r="E49" i="16"/>
  <c r="E15" i="8" s="1"/>
  <c r="K32" i="27"/>
  <c r="E87" i="16"/>
  <c r="H8" i="8" s="1"/>
  <c r="K58" i="27"/>
  <c r="K87" i="27"/>
  <c r="K72" i="27"/>
  <c r="K49" i="27"/>
  <c r="K46" i="27"/>
  <c r="K86" i="27"/>
  <c r="K75" i="27"/>
  <c r="K74" i="27"/>
  <c r="K102" i="27"/>
  <c r="C8" i="8"/>
  <c r="K44" i="27"/>
  <c r="D72" i="5"/>
  <c r="D45" i="5"/>
  <c r="K60" i="27"/>
  <c r="K88" i="27"/>
  <c r="K100" i="27"/>
  <c r="F27" i="30"/>
  <c r="C9" i="8" s="1"/>
  <c r="F122" i="30"/>
  <c r="H9" i="8" s="1"/>
  <c r="K101" i="27"/>
  <c r="K45" i="27"/>
  <c r="F103" i="30"/>
  <c r="G9" i="8" s="1"/>
  <c r="F65" i="30"/>
  <c r="E9" i="8" s="1"/>
  <c r="F84" i="30"/>
  <c r="F9" i="8" s="1"/>
  <c r="D10" i="19"/>
  <c r="F46" i="30"/>
  <c r="D9" i="8" s="1"/>
  <c r="F10" i="19"/>
  <c r="H10" i="19"/>
  <c r="C10" i="19"/>
  <c r="F141" i="30"/>
  <c r="I9" i="8" s="1"/>
  <c r="K34" i="27"/>
  <c r="K30" i="27"/>
  <c r="K35" i="27"/>
  <c r="E35" i="16"/>
  <c r="D8" i="8" s="1"/>
  <c r="C21" i="8" l="1"/>
  <c r="I28" i="15"/>
  <c r="K36" i="27"/>
  <c r="D21" i="8" s="1"/>
  <c r="K92" i="27"/>
  <c r="H21" i="8" s="1"/>
  <c r="K50" i="27"/>
  <c r="E21" i="8" s="1"/>
  <c r="K78" i="27"/>
  <c r="G21" i="8" s="1"/>
  <c r="H33" i="19"/>
  <c r="H34" i="19" s="1"/>
  <c r="H23" i="8"/>
  <c r="G23" i="8"/>
  <c r="G33" i="19"/>
  <c r="G34" i="19" s="1"/>
  <c r="I23" i="8"/>
  <c r="I33" i="19"/>
  <c r="I34" i="19" s="1"/>
  <c r="D33" i="19"/>
  <c r="D34" i="19" s="1"/>
  <c r="D23" i="8"/>
  <c r="F33" i="19"/>
  <c r="F34" i="19" s="1"/>
  <c r="F23" i="8"/>
  <c r="E23" i="8"/>
  <c r="E33" i="19"/>
  <c r="E34" i="19" s="1"/>
  <c r="E16" i="8"/>
  <c r="E30" i="8" s="1"/>
  <c r="H16" i="8"/>
  <c r="H30" i="8" s="1"/>
  <c r="K28" i="15"/>
  <c r="P195" i="15"/>
  <c r="N136" i="15"/>
  <c r="G82" i="15"/>
  <c r="O197" i="15"/>
  <c r="O136" i="15"/>
  <c r="O144" i="15" s="1"/>
  <c r="H82" i="15"/>
  <c r="H190" i="15"/>
  <c r="F55" i="15"/>
  <c r="M170" i="15"/>
  <c r="M171" i="15" s="1"/>
  <c r="K89" i="15"/>
  <c r="I89" i="15"/>
  <c r="L163" i="15"/>
  <c r="J109" i="15"/>
  <c r="H55" i="15"/>
  <c r="E136" i="15"/>
  <c r="E144" i="15" s="1"/>
  <c r="O190" i="15"/>
  <c r="O198" i="15" s="1"/>
  <c r="N163" i="15"/>
  <c r="F28" i="15"/>
  <c r="E109" i="15"/>
  <c r="J55" i="15"/>
  <c r="G136" i="15"/>
  <c r="G146" i="15" s="1"/>
  <c r="P26" i="15"/>
  <c r="C44" i="19" s="1"/>
  <c r="P188" i="15"/>
  <c r="I44" i="19" s="1"/>
  <c r="K62" i="15"/>
  <c r="K63" i="15" s="1"/>
  <c r="F82" i="15"/>
  <c r="P155" i="15"/>
  <c r="H42" i="19" s="1"/>
  <c r="J136" i="15"/>
  <c r="J144" i="15" s="1"/>
  <c r="P98" i="15"/>
  <c r="F41" i="19" s="1"/>
  <c r="L198" i="15"/>
  <c r="M116" i="15"/>
  <c r="M117" i="15" s="1"/>
  <c r="K55" i="15"/>
  <c r="K82" i="15"/>
  <c r="K90" i="15" s="1"/>
  <c r="E82" i="15"/>
  <c r="P161" i="15"/>
  <c r="H44" i="19" s="1"/>
  <c r="J190" i="15"/>
  <c r="P47" i="15"/>
  <c r="D42" i="19" s="1"/>
  <c r="P50" i="15"/>
  <c r="D43" i="19" s="1"/>
  <c r="P128" i="15"/>
  <c r="G42" i="19" s="1"/>
  <c r="N197" i="15"/>
  <c r="N198" i="15" s="1"/>
  <c r="F89" i="15"/>
  <c r="F90" i="15" s="1"/>
  <c r="E28" i="15"/>
  <c r="N170" i="15"/>
  <c r="N171" i="15" s="1"/>
  <c r="E190" i="15"/>
  <c r="D109" i="15"/>
  <c r="P109" i="15" s="1"/>
  <c r="N109" i="15"/>
  <c r="J197" i="15"/>
  <c r="J198" i="15" s="1"/>
  <c r="N89" i="15"/>
  <c r="I55" i="15"/>
  <c r="I63" i="15" s="1"/>
  <c r="H170" i="15"/>
  <c r="K197" i="15"/>
  <c r="K198" i="15" s="1"/>
  <c r="P44" i="15"/>
  <c r="D41" i="19" s="1"/>
  <c r="J116" i="15"/>
  <c r="J117" i="15" s="1"/>
  <c r="I190" i="15"/>
  <c r="I198" i="15" s="1"/>
  <c r="K103" i="27"/>
  <c r="K106" i="27" s="1"/>
  <c r="I21" i="8" s="1"/>
  <c r="K61" i="27"/>
  <c r="K64" i="27" s="1"/>
  <c r="F21" i="8" s="1"/>
  <c r="I36" i="15"/>
  <c r="I37" i="15" s="1"/>
  <c r="L28" i="15"/>
  <c r="P23" i="15"/>
  <c r="C43" i="19" s="1"/>
  <c r="J28" i="15"/>
  <c r="P20" i="15"/>
  <c r="C42" i="19" s="1"/>
  <c r="P17" i="15"/>
  <c r="C41" i="19" s="1"/>
  <c r="H28" i="15"/>
  <c r="C10" i="8"/>
  <c r="C29" i="8" s="1"/>
  <c r="C16" i="8"/>
  <c r="C30" i="8" s="1"/>
  <c r="D10" i="8"/>
  <c r="D29" i="8" s="1"/>
  <c r="F16" i="8"/>
  <c r="F30" i="8" s="1"/>
  <c r="D16" i="8"/>
  <c r="D30" i="8" s="1"/>
  <c r="I143" i="15"/>
  <c r="I144" i="15" s="1"/>
  <c r="P80" i="15"/>
  <c r="E44" i="19" s="1"/>
  <c r="I90" i="15"/>
  <c r="F170" i="15"/>
  <c r="F171" i="15" s="1"/>
  <c r="G116" i="15"/>
  <c r="G117" i="15" s="1"/>
  <c r="G55" i="15"/>
  <c r="P125" i="15"/>
  <c r="G41" i="19" s="1"/>
  <c r="P101" i="15"/>
  <c r="F42" i="19" s="1"/>
  <c r="N28" i="15"/>
  <c r="L89" i="15"/>
  <c r="L90" i="15" s="1"/>
  <c r="G143" i="15"/>
  <c r="G144" i="15" s="1"/>
  <c r="P158" i="15"/>
  <c r="H43" i="19" s="1"/>
  <c r="E163" i="15"/>
  <c r="E171" i="15" s="1"/>
  <c r="P104" i="15"/>
  <c r="F43" i="19" s="1"/>
  <c r="P71" i="15"/>
  <c r="E41" i="19" s="1"/>
  <c r="G163" i="15"/>
  <c r="P107" i="15"/>
  <c r="F44" i="19" s="1"/>
  <c r="N143" i="15"/>
  <c r="N144" i="15" s="1"/>
  <c r="P53" i="15"/>
  <c r="D44" i="19" s="1"/>
  <c r="F143" i="15"/>
  <c r="F144" i="15" s="1"/>
  <c r="N116" i="15"/>
  <c r="N117" i="15" s="1"/>
  <c r="O55" i="15"/>
  <c r="O63" i="15" s="1"/>
  <c r="I163" i="15"/>
  <c r="I171" i="15" s="1"/>
  <c r="L143" i="15"/>
  <c r="L144" i="15" s="1"/>
  <c r="K116" i="15"/>
  <c r="K117" i="15" s="1"/>
  <c r="M90" i="15"/>
  <c r="P179" i="15"/>
  <c r="I41" i="19" s="1"/>
  <c r="P33" i="15"/>
  <c r="M62" i="15"/>
  <c r="M63" i="15" s="1"/>
  <c r="P131" i="15"/>
  <c r="G43" i="19" s="1"/>
  <c r="I146" i="15"/>
  <c r="O119" i="15"/>
  <c r="M119" i="15"/>
  <c r="K173" i="15"/>
  <c r="N200" i="15"/>
  <c r="J119" i="15"/>
  <c r="L200" i="15"/>
  <c r="I92" i="15"/>
  <c r="G119" i="15"/>
  <c r="P138" i="15"/>
  <c r="D143" i="15"/>
  <c r="D144" i="15" s="1"/>
  <c r="M198" i="15"/>
  <c r="P30" i="15"/>
  <c r="D35" i="15"/>
  <c r="D55" i="15"/>
  <c r="F116" i="15"/>
  <c r="F117" i="15" s="1"/>
  <c r="H197" i="15"/>
  <c r="H198" i="15" s="1"/>
  <c r="L170" i="15"/>
  <c r="L171" i="15" s="1"/>
  <c r="M35" i="15"/>
  <c r="M36" i="15" s="1"/>
  <c r="M37" i="15" s="1"/>
  <c r="E89" i="15"/>
  <c r="E90" i="15" s="1"/>
  <c r="J35" i="15"/>
  <c r="E62" i="15"/>
  <c r="E63" i="15" s="1"/>
  <c r="N35" i="15"/>
  <c r="D28" i="15"/>
  <c r="K143" i="15"/>
  <c r="K144" i="15" s="1"/>
  <c r="E197" i="15"/>
  <c r="E198" i="15" s="1"/>
  <c r="J146" i="15"/>
  <c r="P192" i="15"/>
  <c r="D197" i="15"/>
  <c r="F35" i="15"/>
  <c r="L35" i="15"/>
  <c r="I62" i="15"/>
  <c r="E35" i="15"/>
  <c r="J170" i="15"/>
  <c r="J171" i="15" s="1"/>
  <c r="P111" i="15"/>
  <c r="D116" i="15"/>
  <c r="H90" i="15"/>
  <c r="D89" i="15"/>
  <c r="P84" i="15"/>
  <c r="J62" i="15"/>
  <c r="J63" i="15" s="1"/>
  <c r="I117" i="15"/>
  <c r="P168" i="15"/>
  <c r="H35" i="15"/>
  <c r="P182" i="15"/>
  <c r="I42" i="19" s="1"/>
  <c r="D190" i="15"/>
  <c r="P114" i="15"/>
  <c r="G89" i="15"/>
  <c r="G90" i="15" s="1"/>
  <c r="P87" i="15"/>
  <c r="O170" i="15"/>
  <c r="O171" i="15" s="1"/>
  <c r="N62" i="15"/>
  <c r="N63" i="15" s="1"/>
  <c r="O35" i="15"/>
  <c r="O36" i="15" s="1"/>
  <c r="O37" i="15" s="1"/>
  <c r="J90" i="15"/>
  <c r="L116" i="15"/>
  <c r="L117" i="15" s="1"/>
  <c r="O89" i="15"/>
  <c r="O90" i="15" s="1"/>
  <c r="M173" i="15"/>
  <c r="P136" i="15"/>
  <c r="I200" i="15"/>
  <c r="P74" i="15"/>
  <c r="E42" i="19" s="1"/>
  <c r="D82" i="15"/>
  <c r="F62" i="15"/>
  <c r="F63" i="15" s="1"/>
  <c r="H171" i="15"/>
  <c r="G170" i="15"/>
  <c r="G171" i="15" s="1"/>
  <c r="E146" i="15"/>
  <c r="E116" i="15"/>
  <c r="E117" i="15" s="1"/>
  <c r="L65" i="15"/>
  <c r="F197" i="15"/>
  <c r="F198" i="15" s="1"/>
  <c r="H146" i="15"/>
  <c r="H62" i="15"/>
  <c r="H63" i="15" s="1"/>
  <c r="G62" i="15"/>
  <c r="H116" i="15"/>
  <c r="H117" i="15" s="1"/>
  <c r="P141" i="15"/>
  <c r="G35" i="15"/>
  <c r="G36" i="15" s="1"/>
  <c r="G37" i="15" s="1"/>
  <c r="N90" i="15"/>
  <c r="D170" i="15"/>
  <c r="M143" i="15"/>
  <c r="M144" i="15" s="1"/>
  <c r="K35" i="15"/>
  <c r="L146" i="15"/>
  <c r="P57" i="15"/>
  <c r="D62" i="15"/>
  <c r="P60" i="15"/>
  <c r="G198" i="15"/>
  <c r="P165" i="15"/>
  <c r="H24" i="8" s="1"/>
  <c r="I16" i="8"/>
  <c r="I30" i="8" s="1"/>
  <c r="G16" i="8"/>
  <c r="G30" i="8" s="1"/>
  <c r="F10" i="8"/>
  <c r="F29" i="8" s="1"/>
  <c r="I10" i="8"/>
  <c r="I29" i="8" s="1"/>
  <c r="G10" i="8"/>
  <c r="G29" i="8" s="1"/>
  <c r="E10" i="8"/>
  <c r="E29" i="8" s="1"/>
  <c r="H10" i="8"/>
  <c r="H29" i="8" s="1"/>
  <c r="I38" i="15" l="1"/>
  <c r="D36" i="15"/>
  <c r="D37" i="15" s="1"/>
  <c r="F36" i="15"/>
  <c r="F37" i="15" s="1"/>
  <c r="E36" i="15"/>
  <c r="E37" i="15" s="1"/>
  <c r="C24" i="8"/>
  <c r="C25" i="8" s="1"/>
  <c r="K36" i="15"/>
  <c r="K37" i="15" s="1"/>
  <c r="K65" i="15"/>
  <c r="O146" i="15"/>
  <c r="G63" i="15"/>
  <c r="M65" i="15"/>
  <c r="N173" i="15"/>
  <c r="D146" i="15"/>
  <c r="K200" i="15"/>
  <c r="O38" i="15"/>
  <c r="J200" i="15"/>
  <c r="P197" i="15"/>
  <c r="I46" i="19" s="1"/>
  <c r="K92" i="15"/>
  <c r="D117" i="15"/>
  <c r="F49" i="19" s="1"/>
  <c r="E173" i="15"/>
  <c r="M92" i="15"/>
  <c r="N146" i="15"/>
  <c r="H173" i="15"/>
  <c r="P163" i="15"/>
  <c r="J36" i="15"/>
  <c r="J37" i="15" s="1"/>
  <c r="L36" i="15"/>
  <c r="L37" i="15" s="1"/>
  <c r="H36" i="15"/>
  <c r="H37" i="15" s="1"/>
  <c r="N36" i="15"/>
  <c r="N37" i="15" s="1"/>
  <c r="H25" i="8"/>
  <c r="H31" i="8" s="1"/>
  <c r="H32" i="8" s="1"/>
  <c r="O65" i="15"/>
  <c r="E200" i="15"/>
  <c r="F65" i="15"/>
  <c r="L173" i="15"/>
  <c r="E24" i="8"/>
  <c r="E25" i="8" s="1"/>
  <c r="E31" i="8" s="1"/>
  <c r="E32" i="8" s="1"/>
  <c r="F24" i="8"/>
  <c r="J92" i="15"/>
  <c r="N119" i="15"/>
  <c r="I24" i="8"/>
  <c r="I25" i="8" s="1"/>
  <c r="E65" i="15"/>
  <c r="F146" i="15"/>
  <c r="D24" i="8"/>
  <c r="D25" i="8" s="1"/>
  <c r="D31" i="8" s="1"/>
  <c r="D32" i="8" s="1"/>
  <c r="I173" i="15"/>
  <c r="G200" i="15"/>
  <c r="H92" i="15"/>
  <c r="G24" i="8"/>
  <c r="G25" i="8" s="1"/>
  <c r="G31" i="8" s="1"/>
  <c r="G32" i="8" s="1"/>
  <c r="P117" i="15"/>
  <c r="D119" i="15"/>
  <c r="E119" i="15"/>
  <c r="I65" i="15"/>
  <c r="G65" i="15"/>
  <c r="O92" i="15"/>
  <c r="O173" i="15"/>
  <c r="J65" i="15"/>
  <c r="K119" i="15"/>
  <c r="N92" i="15"/>
  <c r="H65" i="15"/>
  <c r="G173" i="15"/>
  <c r="D90" i="15"/>
  <c r="P82" i="15"/>
  <c r="F173" i="15"/>
  <c r="P89" i="15"/>
  <c r="E46" i="19" s="1"/>
  <c r="E92" i="15"/>
  <c r="L119" i="15"/>
  <c r="F92" i="15"/>
  <c r="K146" i="15"/>
  <c r="M38" i="15"/>
  <c r="H119" i="15"/>
  <c r="P55" i="15"/>
  <c r="D63" i="15"/>
  <c r="P35" i="15"/>
  <c r="C46" i="19" s="1"/>
  <c r="M146" i="15"/>
  <c r="P170" i="15"/>
  <c r="H46" i="19" s="1"/>
  <c r="L92" i="15"/>
  <c r="G45" i="19"/>
  <c r="P190" i="15"/>
  <c r="D198" i="15"/>
  <c r="P28" i="15"/>
  <c r="C45" i="19" s="1"/>
  <c r="M200" i="15"/>
  <c r="H200" i="15"/>
  <c r="G92" i="15"/>
  <c r="G38" i="15"/>
  <c r="P62" i="15"/>
  <c r="D46" i="19" s="1"/>
  <c r="J173" i="15"/>
  <c r="F200" i="15"/>
  <c r="P144" i="15"/>
  <c r="P146" i="15" s="1"/>
  <c r="G50" i="19" s="1"/>
  <c r="I119" i="15"/>
  <c r="O200" i="15"/>
  <c r="F119" i="15"/>
  <c r="D171" i="15"/>
  <c r="P143" i="15"/>
  <c r="G46" i="19" s="1"/>
  <c r="N65" i="15"/>
  <c r="F45" i="19"/>
  <c r="P119" i="15"/>
  <c r="F50" i="19" s="1"/>
  <c r="P116" i="15"/>
  <c r="F46" i="19" s="1"/>
  <c r="H45" i="19"/>
  <c r="D37" i="8" l="1"/>
  <c r="D17" i="34" s="1"/>
  <c r="D36" i="8"/>
  <c r="D9" i="34" s="1"/>
  <c r="F25" i="8"/>
  <c r="F31" i="8" s="1"/>
  <c r="F32" i="8" s="1"/>
  <c r="F34" i="8" s="1"/>
  <c r="I31" i="8"/>
  <c r="I32" i="8" s="1"/>
  <c r="AG24" i="8" s="1"/>
  <c r="E34" i="8"/>
  <c r="AC29" i="8"/>
  <c r="G34" i="8"/>
  <c r="AE29" i="8"/>
  <c r="H34" i="8"/>
  <c r="AF29" i="8"/>
  <c r="F38" i="15"/>
  <c r="D34" i="8"/>
  <c r="AB29" i="8"/>
  <c r="C31" i="8"/>
  <c r="E38" i="15"/>
  <c r="D38" i="15"/>
  <c r="H36" i="8"/>
  <c r="H9" i="34" s="1"/>
  <c r="H37" i="8"/>
  <c r="H17" i="34" s="1"/>
  <c r="G36" i="8"/>
  <c r="G9" i="34" s="1"/>
  <c r="G37" i="8"/>
  <c r="G17" i="34" s="1"/>
  <c r="E37" i="8"/>
  <c r="E17" i="34" s="1"/>
  <c r="E36" i="8"/>
  <c r="E9" i="34" s="1"/>
  <c r="G49" i="19"/>
  <c r="K38" i="15"/>
  <c r="H38" i="15"/>
  <c r="L38" i="15"/>
  <c r="J38" i="15"/>
  <c r="N38" i="15"/>
  <c r="D65" i="15"/>
  <c r="D49" i="19"/>
  <c r="D92" i="15"/>
  <c r="E49" i="19"/>
  <c r="C47" i="19"/>
  <c r="C48" i="19" s="1"/>
  <c r="AC28" i="8"/>
  <c r="AE28" i="8"/>
  <c r="AB28" i="8"/>
  <c r="AF31" i="8"/>
  <c r="AF28" i="8"/>
  <c r="AB25" i="8"/>
  <c r="AB30" i="8"/>
  <c r="AB31" i="8"/>
  <c r="AB22" i="8"/>
  <c r="AB32" i="8"/>
  <c r="AB24" i="8"/>
  <c r="AB26" i="8"/>
  <c r="AB21" i="8"/>
  <c r="AB33" i="8"/>
  <c r="G47" i="19"/>
  <c r="G48" i="19" s="1"/>
  <c r="D45" i="19"/>
  <c r="D47" i="19" s="1"/>
  <c r="D48" i="19" s="1"/>
  <c r="P36" i="15"/>
  <c r="P37" i="15" s="1"/>
  <c r="E45" i="19"/>
  <c r="H47" i="19"/>
  <c r="H48" i="19" s="1"/>
  <c r="P90" i="15"/>
  <c r="P92" i="15" s="1"/>
  <c r="E50" i="19" s="1"/>
  <c r="I49" i="19"/>
  <c r="P198" i="15"/>
  <c r="P200" i="15" s="1"/>
  <c r="I50" i="19" s="1"/>
  <c r="I45" i="19"/>
  <c r="I47" i="19" s="1"/>
  <c r="I48" i="19" s="1"/>
  <c r="F47" i="19"/>
  <c r="F48" i="19" s="1"/>
  <c r="D200" i="15"/>
  <c r="E47" i="19"/>
  <c r="E48" i="19" s="1"/>
  <c r="P171" i="15"/>
  <c r="P173" i="15" s="1"/>
  <c r="H50" i="19" s="1"/>
  <c r="H49" i="19"/>
  <c r="D173" i="15"/>
  <c r="P63" i="15"/>
  <c r="P65" i="15" s="1"/>
  <c r="D50" i="19" s="1"/>
  <c r="AF21" i="8"/>
  <c r="AF25" i="8"/>
  <c r="AF33" i="8"/>
  <c r="AE24" i="8"/>
  <c r="AE22" i="8"/>
  <c r="AE33" i="8"/>
  <c r="AE30" i="8"/>
  <c r="AE21" i="8"/>
  <c r="AE31" i="8"/>
  <c r="AE25" i="8"/>
  <c r="AF24" i="8"/>
  <c r="AF32" i="8"/>
  <c r="AF26" i="8"/>
  <c r="AF30" i="8"/>
  <c r="AE26" i="8"/>
  <c r="AE32" i="8"/>
  <c r="AF22" i="8"/>
  <c r="AC31" i="8"/>
  <c r="AC26" i="8"/>
  <c r="AC21" i="8"/>
  <c r="AC30" i="8"/>
  <c r="AC22" i="8"/>
  <c r="AC25" i="8"/>
  <c r="AC33" i="8"/>
  <c r="AC24" i="8"/>
  <c r="AC32" i="8"/>
  <c r="AD22" i="8" l="1"/>
  <c r="AD32" i="8"/>
  <c r="F37" i="8"/>
  <c r="F17" i="34" s="1"/>
  <c r="F36" i="8"/>
  <c r="F9" i="34" s="1"/>
  <c r="AD30" i="8"/>
  <c r="AD28" i="8"/>
  <c r="AD34" i="8" s="1"/>
  <c r="AD24" i="8"/>
  <c r="AD31" i="8"/>
  <c r="AD33" i="8"/>
  <c r="AD21" i="8"/>
  <c r="AD26" i="8"/>
  <c r="AD29" i="8"/>
  <c r="AD25" i="8"/>
  <c r="AG26" i="8"/>
  <c r="AG31" i="8"/>
  <c r="AG22" i="8"/>
  <c r="AG30" i="8"/>
  <c r="I37" i="8"/>
  <c r="I17" i="34" s="1"/>
  <c r="AG29" i="8"/>
  <c r="AG33" i="8"/>
  <c r="AG25" i="8"/>
  <c r="AG32" i="8"/>
  <c r="AG28" i="8"/>
  <c r="AG34" i="8" s="1"/>
  <c r="AG21" i="8"/>
  <c r="I36" i="8"/>
  <c r="I9" i="34" s="1"/>
  <c r="I34" i="8"/>
  <c r="AA24" i="8"/>
  <c r="AA32" i="8"/>
  <c r="AH32" i="8" s="1"/>
  <c r="P38" i="15"/>
  <c r="C50" i="19" s="1"/>
  <c r="C49" i="19"/>
  <c r="AA29" i="8"/>
  <c r="AH29" i="8" s="1"/>
  <c r="AA28" i="8"/>
  <c r="C36" i="8"/>
  <c r="C9" i="34" s="1"/>
  <c r="AH24" i="8"/>
  <c r="AA25" i="8"/>
  <c r="AH25" i="8" s="1"/>
  <c r="AA26" i="8"/>
  <c r="AH26" i="8" s="1"/>
  <c r="AA33" i="8"/>
  <c r="AH33" i="8" s="1"/>
  <c r="AA31" i="8"/>
  <c r="AH31" i="8" s="1"/>
  <c r="AA30" i="8"/>
  <c r="AH30" i="8" s="1"/>
  <c r="AA22" i="8"/>
  <c r="AH22" i="8" s="1"/>
  <c r="AA21" i="8"/>
  <c r="AE34" i="8"/>
  <c r="AF34" i="8"/>
  <c r="AB34" i="8"/>
  <c r="AB27" i="8"/>
  <c r="AB23" i="8"/>
  <c r="AF23" i="8"/>
  <c r="AE23" i="8"/>
  <c r="AE27" i="8"/>
  <c r="AF27" i="8"/>
  <c r="AC34" i="8"/>
  <c r="AC23" i="8"/>
  <c r="AC27" i="8"/>
  <c r="AD23" i="8" l="1"/>
  <c r="AD27" i="8"/>
  <c r="AG23" i="8"/>
  <c r="AG27" i="8"/>
  <c r="AH28" i="8"/>
  <c r="AA34" i="8"/>
  <c r="AH34" i="8" s="1"/>
  <c r="AA27" i="8"/>
  <c r="AH27" i="8" s="1"/>
  <c r="AA23" i="8"/>
  <c r="AH21" i="8"/>
  <c r="AF35" i="8"/>
  <c r="AB35" i="8"/>
  <c r="AE35" i="8"/>
  <c r="AC35" i="8"/>
  <c r="AD35" i="8" l="1"/>
  <c r="AG35" i="8"/>
  <c r="AA35" i="8"/>
  <c r="AH2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74" authorId="0" shapeId="0" xr:uid="{5F9E7A44-ADF1-4C70-9E55-EECA53C3E8A6}">
      <text>
        <r>
          <rPr>
            <b/>
            <sz val="8"/>
            <rFont val="Tahoma"/>
            <family val="2"/>
          </rPr>
          <t xml:space="preserve">1,4–2,0-liitrine bensiinimootor
</t>
        </r>
      </text>
    </comment>
    <comment ref="C181" authorId="0" shapeId="0" xr:uid="{771646F4-B6C7-4DF5-8959-4328068F28F4}">
      <text>
        <r>
          <rPr>
            <b/>
            <sz val="8"/>
            <rFont val="Tahoma"/>
            <family val="2"/>
          </rPr>
          <t>1,7–2,0-liitrine diiselmootor</t>
        </r>
      </text>
    </comment>
    <comment ref="C188" authorId="0" shapeId="0" xr:uid="{ABA70AC3-9CCB-4C72-B1F0-5C10AD96B926}">
      <text>
        <r>
          <rPr>
            <b/>
            <sz val="8"/>
            <rFont val="Tahoma"/>
            <family val="2"/>
          </rPr>
          <t>Erineva suurusega surubiometaani kasutavate sõiduautode keskmine</t>
        </r>
      </text>
    </comment>
    <comment ref="C195" authorId="0" shapeId="0" xr:uid="{E8F67FBE-8B64-4B83-BC2E-8A14FD82691B}">
      <text>
        <r>
          <rPr>
            <b/>
            <sz val="8"/>
            <rFont val="Tahoma"/>
            <family val="2"/>
          </rPr>
          <t>Erineva suurusega surumaagaasi kasutavate sõiduautode keskmine</t>
        </r>
      </text>
    </comment>
    <comment ref="C202" authorId="0" shapeId="0" xr:uid="{EEE0D313-C2B3-480A-AEB4-0BC363E650FB}">
      <text>
        <r>
          <rPr>
            <b/>
            <sz val="8"/>
            <rFont val="Tahoma"/>
            <family val="2"/>
          </rPr>
          <t xml:space="preserve">Keskmise suurusega hübriidauto 1,4–2,0-liitrise bensiinimootoriga </t>
        </r>
      </text>
    </comment>
    <comment ref="C210" authorId="0" shapeId="0" xr:uid="{D4024F60-E9CE-4779-A3EB-B682357BD09B}">
      <text>
        <r>
          <rPr>
            <b/>
            <sz val="8"/>
            <rFont val="Tahoma"/>
            <family val="2"/>
          </rPr>
          <t xml:space="preserve">Erineva suurusega tavaelektril sõitvate autode keskmine
</t>
        </r>
      </text>
    </comment>
    <comment ref="D372" authorId="0" shapeId="0" xr:uid="{7E3EB270-329D-4BF0-82D5-FE1C6C8B3CFD}">
      <text>
        <r>
          <rPr>
            <sz val="9"/>
            <color indexed="81"/>
            <rFont val="Tahoma"/>
            <family val="2"/>
            <charset val="186"/>
          </rPr>
          <t>A4=1/16 A0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<sst xmlns="http://schemas.openxmlformats.org/spreadsheetml/2006/main" count="2325" uniqueCount="535">
  <si>
    <t>MAJUTUSETTEVÕTTE KESKKONNA- JA SÜSINIKUJALAJÄLJE ARVUTUSMUDEL</t>
  </si>
  <si>
    <t>KESKKONNA- JA SÜSINIKU JALAJÄLJE ARVUTUSMUDELI EESMÄRK</t>
  </si>
  <si>
    <t>Arvutusmudel pakub raamistiku majutusettevõtetele oma keskkonnajalajälje, sh süsiniku ehk kasvuhoonegaaside (KHG) jalajälje arvutamiseks ja seireks. Mudel on eelkõige mõeldud majutusteenuse ja koosolekuruumide pakkumisega seotud olulisemate keskkonnaaspektide/-mõjude (energiakasutus, veetarbimine, paberikasutus, jäätmeteke) mõõtmiseks ja KHG jalajälje hindamiseks. Arvutusmudel on abivahend Green Key süsteemi rakendanud majutusettevõtetele keskkonnaeesmärkide püstitamiseks ja oma keskkonnategevuse tulemuslikkuse järjepidevaks mõõtmiseks. Mudelit võivad kasutada ka muud majutust ja koosolekuruume pakkuvad ettevõtted, kes tahavad oma keskkonnajalajälge hinnata ja seirata.
Arvutusmudeli metoodika põhineb rahvusvahelisel majutusettevõtete süsinikujalajälje hindamise tööriistal “Hotel Carbon Measurement Initiative” (HCMI), mille on välja töötanud Sustainable Hospitality Alliance.</t>
  </si>
  <si>
    <t>SISU JA KASUTAMINE</t>
  </si>
  <si>
    <r>
      <t>Majutusettevõtte keskkonnajalajälje arvutusmudel võimaldab mõõta ja hinnata peamisi majutustegevusega ja koosolekuruumide pakkumisega seotud keskkonnaaspekte (energia- ja materjalivood) ning arvutada KHG jalajälge mõjuala 1, 2 ja 3 olulisemate heiteallikate/tegevuskategooriate kaupa.
Green Key kriteeriumid sätestavad, et ettevõte registreerib oma keskkonnaaspektid vähemalt korra kuus: energiatarbe (elektri- ja soojusenergia) (kriteerium 7.1), veetarbe (4.1) ja jäätmete koguhulga (6.10). 
Green Key kriteerium 1.6 sätestab, et ettevõte mõõdab oma CO</t>
    </r>
    <r>
      <rPr>
        <vertAlign val="subscript"/>
        <sz val="11"/>
        <color theme="1"/>
        <rFont val="Aptos Narrow"/>
        <family val="2"/>
      </rPr>
      <t>2</t>
    </r>
    <r>
      <rPr>
        <sz val="11"/>
        <color theme="1"/>
        <rFont val="Aptos Narrow"/>
        <family val="2"/>
      </rPr>
      <t xml:space="preserve"> jalajälge, kasutades selleks CO</t>
    </r>
    <r>
      <rPr>
        <vertAlign val="subscript"/>
        <sz val="11"/>
        <color theme="1"/>
        <rFont val="Aptos Narrow"/>
        <family val="2"/>
      </rPr>
      <t>2</t>
    </r>
    <r>
      <rPr>
        <sz val="11"/>
        <color theme="1"/>
        <rFont val="Aptos Narrow"/>
        <family val="2"/>
      </rPr>
      <t xml:space="preserve"> kalkulaatorit.</t>
    </r>
  </si>
  <si>
    <t>Keskkonnaaspektid</t>
  </si>
  <si>
    <r>
      <t xml:space="preserve">Majutustegevusega seotud olulisemad keskkonnaaspektid on välja toodud järgmiste energia- ja materjalivoogudena: 
• </t>
    </r>
    <r>
      <rPr>
        <b/>
        <sz val="11"/>
        <rFont val="Aptos Narrow"/>
        <family val="2"/>
      </rPr>
      <t>ELEKTER</t>
    </r>
    <r>
      <rPr>
        <sz val="11"/>
        <rFont val="Aptos Narrow"/>
        <family val="2"/>
      </rPr>
      <t xml:space="preserve"> ‒ majutusettevõtte elektritarbimine
</t>
    </r>
    <r>
      <rPr>
        <b/>
        <sz val="11"/>
        <rFont val="Aptos Narrow"/>
        <family val="2"/>
      </rPr>
      <t>• SOOJUS</t>
    </r>
    <r>
      <rPr>
        <sz val="11"/>
        <rFont val="Aptos Narrow"/>
        <family val="2"/>
      </rPr>
      <t xml:space="preserve"> ‒ majutusettevõtte soojusenergia tarbimine (küte)
</t>
    </r>
    <r>
      <rPr>
        <b/>
        <sz val="11"/>
        <rFont val="Aptos Narrow"/>
        <family val="2"/>
      </rPr>
      <t>• VESI</t>
    </r>
    <r>
      <rPr>
        <sz val="11"/>
        <rFont val="Aptos Narrow"/>
        <family val="2"/>
      </rPr>
      <t xml:space="preserve"> ‒ majutusettevõtte veetarbimine
</t>
    </r>
    <r>
      <rPr>
        <b/>
        <sz val="11"/>
        <rFont val="Aptos Narrow"/>
        <family val="2"/>
      </rPr>
      <t>• PABER</t>
    </r>
    <r>
      <rPr>
        <sz val="11"/>
        <rFont val="Aptos Narrow"/>
        <family val="2"/>
      </rPr>
      <t xml:space="preserve"> ‒ kontori- ja pehmepaberi tarbimine
</t>
    </r>
    <r>
      <rPr>
        <b/>
        <sz val="11"/>
        <rFont val="Aptos Narrow"/>
        <family val="2"/>
      </rPr>
      <t>• JÄÄTMED</t>
    </r>
    <r>
      <rPr>
        <sz val="11"/>
        <rFont val="Aptos Narrow"/>
        <family val="2"/>
      </rPr>
      <t xml:space="preserve"> ‒ majutusettevõttes tekkiv olmejäätmete kogus ja jäätmete liigiti kogumine
Nende keskkonnaaspektide/-mõõdikute regulaarne (kuu- ja aastapõhine) registreerimine ja seire lubab majutusettevõttel seada ka asjakohaseid keskkonnaeesmärke ning hinnata oma keskkonnategevuse (sh rakendatud meetmete) tulemuslikkust.
Majutusettevõte peab oma tarbimisandmed, mida üldjuhul saab arvetelt või muudelt raamatupidamisdokumentidelt, sisestama soovitatavalt igakuiselt (v.a ostetud paberi kogus) mudeli töölehtedel olevatesse arvestustabelitesse. Kõikide keskkonnaaspektidega seotud tarbimis-/tekkekogused võetakse aastate kaupa kokku KOONDandmete lehel.</t>
    </r>
  </si>
  <si>
    <t>KHG jalajälg</t>
  </si>
  <si>
    <r>
      <t>Lisaks keskkonnaaspektide tarbimispõhisele seirele võimaldab mudel arvutada majutusteenuse ja koosolekuruumide pakkumisest tulenevat KHG jalajälge. Peamiste keskkonnaaspektide (elekter, soojus, vesi, paber, jäätmed) KHG heide arvutatakse mudelis automaatselt vastavalt sisestatud tarbimis-/tekkekogustele. Ainult elektri ja soojusenergia tabelites tuleb KHG jalajälje arvutamiseks sisestada lisainformatsiooni. 
Majutusettevõtte KHG jalajälje arvutamise ulatuse määratlemisel tuleks peale nimetatud keskkonnaaspektide arvestada ka ettevõttele kuuluvate sõidukite ja kliimaseadmete kasutust (M1 ‒ mõjuala 1) ning mõjuala 3 (M3) alla kuuluvaid tüüpilisi tegevusi (pesupesemine, majutusettevõttega seotud kaupade ja inimeste transporditeenus). Arvutusmudelis on eraldi töölehed koos juhistega nimetatud tegevuskategooriate andmete sisestamiseks:
• KHG_OMA SÕIDUKID M1
• KHG_HAJUSHEITMED M1
• KHG_PESUPESEMISTEENUS M3
• KHG_TÖÖREISID M3
• KHG_TRANSPORDITEENUS M3
Kliendi jaoks on võimalik välja arvutada tema ööbimisest ja/või koosolekuruumi(de) kasutamisest tulenev KHG jalajälg kasutades lehel 'KLIENDI KHG JALAJÄLG' olevaid KHG jalajälje andmeid hõivatud toa kohta ööpäevas ning koosolekuruumi ruutmeetri kohta tunnis.
KHG jalajälje koondtulemus CO</t>
    </r>
    <r>
      <rPr>
        <vertAlign val="subscript"/>
        <sz val="11"/>
        <color theme="1"/>
        <rFont val="Aptos Narrow"/>
        <family val="2"/>
      </rPr>
      <t>2</t>
    </r>
    <r>
      <rPr>
        <sz val="11"/>
        <color theme="1"/>
        <rFont val="Aptos Narrow"/>
        <family val="2"/>
      </rPr>
      <t xml:space="preserve"> ekvivalentides tuuakse välja mudeli töölehel 'KHG JALAJÄLG KOOND': mõjualade kaupa ning tubade ja koosolekuruumide kohta aastas.
</t>
    </r>
  </si>
  <si>
    <t>Eriheitetegurid</t>
  </si>
  <si>
    <t xml:space="preserve">Mudeli viimasel töölehel on KHG jalajälje arvutamise aluseks olevad eriheitetegurid, mis tuginevad kliimaministeeriumi igal aastal uuendatavale andmebaasile (https://kliimaministeerium.ee/organisatsioonide-khg-jalajalg). </t>
  </si>
  <si>
    <t>NB! Kui majutusettevõte soovib kasutada muid eriheitetegureid, siis tuleb need sisestada eriheitetegurite töölehe tabelites olevate tegurite asemele.</t>
  </si>
  <si>
    <t>MAJUTUSETTEVÕTTE ÜLDANDMED</t>
  </si>
  <si>
    <t>Sisestage majutusettevõtte keskkonna- ja süsinikujalajälje arvutamiseks vajalikud üldandmed.</t>
  </si>
  <si>
    <r>
      <rPr>
        <b/>
        <i/>
        <sz val="11"/>
        <rFont val="Aptos Narrow"/>
        <family val="2"/>
      </rPr>
      <t>Majutusettevõtte köetav üldpind</t>
    </r>
    <r>
      <rPr>
        <i/>
        <sz val="11"/>
        <rFont val="Aptos Narrow"/>
        <family val="2"/>
      </rPr>
      <t xml:space="preserve"> – kogu köetav üldpind (toad, üldkasutatavad alad, seminari-/koosolekuruumid ja muud alad, sh spaa- ja toitlustusalad).
</t>
    </r>
    <r>
      <rPr>
        <b/>
        <i/>
        <sz val="11"/>
        <rFont val="Aptos Narrow"/>
        <family val="2"/>
      </rPr>
      <t>Üldkasutatavad alad</t>
    </r>
    <r>
      <rPr>
        <i/>
        <sz val="11"/>
        <rFont val="Aptos Narrow"/>
        <family val="2"/>
      </rPr>
      <t xml:space="preserve"> – koridorid ja fuajee (siia alla ei kuulu spaa- ja toitlustusalad).
</t>
    </r>
    <r>
      <rPr>
        <b/>
        <i/>
        <sz val="11"/>
        <rFont val="Aptos Narrow"/>
        <family val="2"/>
      </rPr>
      <t>Hõivatud tubade arv</t>
    </r>
    <r>
      <rPr>
        <i/>
        <sz val="11"/>
        <rFont val="Aptos Narrow"/>
        <family val="2"/>
      </rPr>
      <t xml:space="preserve"> – väljamüüdud tubade arv miinus kasutamata jäänud müüdud tubade arv. Kui kasutamata jäänud müüdud tubade kohta andmete kogumine on väga ajamahukas, võib võtta hõivatud tubade arvuks väljamüüdud tubade arvu.
</t>
    </r>
    <r>
      <rPr>
        <b/>
        <i/>
        <sz val="11"/>
        <rFont val="Aptos Narrow"/>
        <family val="2"/>
      </rPr>
      <t>Majutatute arv</t>
    </r>
    <r>
      <rPr>
        <i/>
        <sz val="11"/>
        <rFont val="Aptos Narrow"/>
        <family val="2"/>
      </rPr>
      <t xml:space="preserve"> – turist ehk ööbiv külastaja, kes veedab vähemalt ühe öö majutuskohas.
</t>
    </r>
    <r>
      <rPr>
        <b/>
        <i/>
        <sz val="11"/>
        <rFont val="Aptos Narrow"/>
        <family val="2"/>
      </rPr>
      <t>Ööbimiste arv</t>
    </r>
    <r>
      <rPr>
        <i/>
        <sz val="11"/>
        <rFont val="Aptos Narrow"/>
        <family val="2"/>
      </rPr>
      <t xml:space="preserve"> – ööde arv, mille külastaja tegelikult veedab (ööbides või viibides) majutuskohas või mille jooksul ta on sinna sisse registreeritud (füüsiline kohalolek ei ole oluline). 
Ööbimiste arv on tavaliselt suurem kui majutatute arv, sest üks majutatu võib ööbida mitu ööd. 
Näiteks kui jaanuaris on iga päev hotellis 100 külastajat, siis on ööbimiste arv jaanuaris 100 külastajat x 31 päeva = 3100 ööbimist.
Kui jaanuaris iga päev 50 külastajat ööbisid ühestes tubades ja 50 ööbisid kahestes tubades, siis iga päev oli hõivatud 50 + 25 = 75 tuba. Kokku oli jaanuaris hõivatud tubade arv: 75 tuba x 31 päeva = 2325 tuba.</t>
    </r>
  </si>
  <si>
    <t>TABELI TÄITMISE JUHIS:</t>
  </si>
  <si>
    <t>sisesta andmed</t>
  </si>
  <si>
    <t>andmed arvutatakse valemite abil</t>
  </si>
  <si>
    <t>Majutusettevõtte nimi</t>
  </si>
  <si>
    <t>Aadress</t>
  </si>
  <si>
    <t>Registrikood</t>
  </si>
  <si>
    <t>AASTAPÕHISED ANDMED</t>
  </si>
  <si>
    <r>
      <t>Majutusettevõtte köetav üldpind (m</t>
    </r>
    <r>
      <rPr>
        <vertAlign val="superscript"/>
        <sz val="10"/>
        <color theme="1"/>
        <rFont val="Aptos Narrow"/>
        <family val="2"/>
      </rPr>
      <t>2</t>
    </r>
    <r>
      <rPr>
        <sz val="10"/>
        <color theme="1"/>
        <rFont val="Aptos Narrow"/>
        <family val="2"/>
      </rPr>
      <t>)</t>
    </r>
  </si>
  <si>
    <r>
      <t>Tubade ja üldkasutatavate alade üldpind (m</t>
    </r>
    <r>
      <rPr>
        <vertAlign val="superscript"/>
        <sz val="10"/>
        <rFont val="Aptos Narrow"/>
        <family val="2"/>
      </rPr>
      <t>2</t>
    </r>
    <r>
      <rPr>
        <sz val="10"/>
        <rFont val="Aptos Narrow"/>
        <family val="2"/>
      </rPr>
      <t>)</t>
    </r>
  </si>
  <si>
    <r>
      <t>Seminari-/koosolekuruumide üldpind (m</t>
    </r>
    <r>
      <rPr>
        <vertAlign val="superscript"/>
        <sz val="10"/>
        <rFont val="Aptos Narrow"/>
        <family val="2"/>
      </rPr>
      <t>2</t>
    </r>
    <r>
      <rPr>
        <sz val="10"/>
        <rFont val="Aptos Narrow"/>
        <family val="2"/>
      </rPr>
      <t>)</t>
    </r>
  </si>
  <si>
    <t>Tubade arv</t>
  </si>
  <si>
    <t>Hõivatud tubade arv</t>
  </si>
  <si>
    <t>Ööbimiste arv</t>
  </si>
  <si>
    <t>AASTA</t>
  </si>
  <si>
    <t>KUUPÕHISED ANDMED</t>
  </si>
  <si>
    <t>Jaanuar</t>
  </si>
  <si>
    <t>Veebruar</t>
  </si>
  <si>
    <t>Märts</t>
  </si>
  <si>
    <t>Aprill</t>
  </si>
  <si>
    <t>Mai</t>
  </si>
  <si>
    <t xml:space="preserve">Juuni </t>
  </si>
  <si>
    <t>Juuli</t>
  </si>
  <si>
    <t>August</t>
  </si>
  <si>
    <t>September</t>
  </si>
  <si>
    <t>Oktoober</t>
  </si>
  <si>
    <t>November</t>
  </si>
  <si>
    <t>Detsember</t>
  </si>
  <si>
    <t>AASTAS KOKKU</t>
  </si>
  <si>
    <t xml:space="preserve">Hõivatud tubade arv </t>
  </si>
  <si>
    <t>Majutatute arv</t>
  </si>
  <si>
    <t>ELEKTRIENERGIA TARBIMINE</t>
  </si>
  <si>
    <t>Siia lehele sisestage tarbitud elektrienergia kogus (kWh) majutusettevõttes, sh majutusettevõttele kuuluvates välisrajatistes.</t>
  </si>
  <si>
    <t>Elektrienergia tarbimise andmed saadakse tavaliselt arvestitelt, vastavatelt arvetelt või muudest raamatupidamisdokumentidest.</t>
  </si>
  <si>
    <t>Juhul kui algandmed on megavatt-tundides, tuleb need väärtused korrutada 1000-ga (MWh x 1000 = kWh).</t>
  </si>
  <si>
    <t>KHG jalajälje arvutamiseks tuleb alloleva tabeli viimases veerus sisestada taastuv- ehk roheelektri osakaal (protsendina) aastas tarbitud elektrist. Taastuvelekter võib olla oma tarbimiseks nii ise toodetud, nt päikesepaneelidest, kui ka teenusepakkujalt ostetud elekter. NB! Kohapeal toodetud taastuvast elektrienergiast tohib arvesse võtta ainult seda elektri kogust, mis majutusettevõttes otse tarbitakse. Taastuvelektrina ei lähe arvesse see taastuvelektri kogus, mis müüakse võrku.</t>
  </si>
  <si>
    <t>Tabeli kõrval kuvatakse elektrienergia tarbimise kuupõhised andmed joongraafikuna.</t>
  </si>
  <si>
    <t>mittetäidetavad lahtrid</t>
  </si>
  <si>
    <t>ANDMED</t>
  </si>
  <si>
    <t>Taastuvelektri osakaal (%)</t>
  </si>
  <si>
    <t>Elektritarbimine majutusettevõttes (kWh)</t>
  </si>
  <si>
    <t>Elektritarbimine ööbimise kohta (kWh/ööbimine)</t>
  </si>
  <si>
    <t>SOOJUSENERGIA TARBIMINE</t>
  </si>
  <si>
    <r>
      <t>Soojusenergia tarbimise andmed (kWh) on üldjuhul kättesaadavad vastavatelt arvetelt, muudest raamatupidamisdokumentidest või vastavatelt mõõdikutelt. Vajadusel võib soojusenergia andmeid küsida hoone haldajalt/rendileandjalt (kaudselt saab soojusenergia kasutamist arvestada majutusettevõtte ruutmeetrite ja kogu hoone küttekulu põhjal). Soojusenergia/kütte tarbimise arvestust peetakse majutusettevõtte köetava pinna kohta (kWh/m</t>
    </r>
    <r>
      <rPr>
        <i/>
        <vertAlign val="superscript"/>
        <sz val="11"/>
        <rFont val="Aptos Narrow"/>
        <family val="2"/>
      </rPr>
      <t>2</t>
    </r>
    <r>
      <rPr>
        <i/>
        <sz val="11"/>
        <rFont val="Aptos Narrow"/>
        <family val="2"/>
      </rPr>
      <t xml:space="preserve">). Juhul kui majutusettevõte toodab ise soojusenergiat, siis tuleb toodetud energiakogus ise fikseerida.
</t>
    </r>
  </si>
  <si>
    <t>Kui on soov mõõta soojusenergia/kütte tarbimisega seotud KHG jalajälge, siis tuleb tabeli viimastes veergudes 'KHG JALAJÄLJE ARVUTAMISE ANDMED' valida rippmenüüst kaugkütte võrgupiirkond (juhul kui majutusettevõte kasutab kaugkütet) või oma keskküttekatlas/katlamajas kasutatav põhiline kütuseliik.</t>
  </si>
  <si>
    <r>
      <t>Tallinna, Tartu ja Pärnu võrgupiirkonna (AS Utilitase ja AS Greni kliendid) CO</t>
    </r>
    <r>
      <rPr>
        <i/>
        <vertAlign val="subscript"/>
        <sz val="11"/>
        <color theme="1"/>
        <rFont val="Aptos Narrow"/>
        <family val="2"/>
      </rPr>
      <t>2</t>
    </r>
    <r>
      <rPr>
        <i/>
        <sz val="11"/>
        <color theme="1"/>
        <rFont val="Aptos Narrow"/>
        <family val="2"/>
      </rPr>
      <t xml:space="preserve"> eriheitetegur on mudelisse sisestatud. Muudes piirkondades asuvate majutusettevõtete puhul tuleks kaugkütte eriheitetegur (kg CO</t>
    </r>
    <r>
      <rPr>
        <i/>
        <vertAlign val="subscript"/>
        <sz val="11"/>
        <color theme="1"/>
        <rFont val="Aptos Narrow"/>
        <family val="2"/>
      </rPr>
      <t>2</t>
    </r>
    <r>
      <rPr>
        <i/>
        <sz val="11"/>
        <color theme="1"/>
        <rFont val="Aptos Narrow"/>
        <family val="2"/>
      </rPr>
      <t xml:space="preserve"> ekv/kWh) küsida kaugkütte teenusepakkujalt (energiatarnijalt), juhul kui seda pole arvelt, iseteenindusest või kodulehelt võimalik saada, ja sisestada see alloleva tabeli veergu 'Kaugkütte võrgupiirkonna eriheitetegur'. </t>
    </r>
  </si>
  <si>
    <t>Tabeli kõrval kuvatakse soojusenergia tarbimise kuupõhised andmed joongraafikuna.</t>
  </si>
  <si>
    <t>vali andmed rippmenüüst</t>
  </si>
  <si>
    <t>KHG JALAJÄLJE ARVUTAMISE ANDMED</t>
  </si>
  <si>
    <t>Kaugkütte võrgupiirkond</t>
  </si>
  <si>
    <r>
      <t>Kaugkütte võrgupiirkonna eriheitetegur 
(kg CO</t>
    </r>
    <r>
      <rPr>
        <b/>
        <vertAlign val="subscript"/>
        <sz val="10"/>
        <rFont val="Aptos Narrow"/>
        <family val="2"/>
      </rPr>
      <t xml:space="preserve">2 </t>
    </r>
    <r>
      <rPr>
        <b/>
        <sz val="10"/>
        <rFont val="Aptos Narrow"/>
        <family val="2"/>
      </rPr>
      <t>ekv/kWh)</t>
    </r>
  </si>
  <si>
    <t>Oma keskküttekatla kütuseliik</t>
  </si>
  <si>
    <t>Soojusenergia tarbimine majutusettevõttes (kWh)</t>
  </si>
  <si>
    <t>Soojusenergia tarbimine ööbimise kohta (kWh/ööbimine)</t>
  </si>
  <si>
    <r>
      <t>Soojusenergia tarbimine ruutmeetri kohta (kWh/m</t>
    </r>
    <r>
      <rPr>
        <b/>
        <vertAlign val="superscript"/>
        <sz val="10"/>
        <rFont val="Aptos Narrow"/>
        <family val="2"/>
      </rPr>
      <t>2</t>
    </r>
    <r>
      <rPr>
        <b/>
        <sz val="10"/>
        <rFont val="Aptos Narrow"/>
        <family val="2"/>
      </rPr>
      <t>)</t>
    </r>
  </si>
  <si>
    <t>VEETARBIMINE</t>
  </si>
  <si>
    <r>
      <t>Allolevasse tabelisse sisestage kuude kaupa veetarbimise andmed (m</t>
    </r>
    <r>
      <rPr>
        <i/>
        <vertAlign val="superscript"/>
        <sz val="11"/>
        <color theme="1"/>
        <rFont val="Aptos Narrow"/>
        <family val="2"/>
      </rPr>
      <t>3</t>
    </r>
    <r>
      <rPr>
        <i/>
        <sz val="11"/>
        <color theme="1"/>
        <rFont val="Aptos Narrow"/>
        <family val="2"/>
      </rPr>
      <t xml:space="preserve">), mis on üldjuhul kättesaadavad arvestitelt, vastavatelt arvetelt või muudest raamatupidamisdokumentidest.
. </t>
    </r>
  </si>
  <si>
    <t>Veetarbimisest (sh reovee puhastamisest) tuleneva KHG jalajälje hindamiseks pole lisaandmeid vaja sisestada ja jalajälg arvutatakse automaatselt siin töölehel sisestatud veetarbimise andmete põhjal lehel 'KHG JALAJÄLG KOOND'.</t>
  </si>
  <si>
    <t>Tabeli kõrval kuvatakse veekasutuse kuupõhised andmed joongraafikuna.</t>
  </si>
  <si>
    <t>AASTAS KOKKU / KESKMINE</t>
  </si>
  <si>
    <t>Veetarbimine majutusettevõttes (m³)</t>
  </si>
  <si>
    <t>Veetarbimine ööbimise kohta (m³/ööbimine)</t>
  </si>
  <si>
    <t>PABERIKASUTUS</t>
  </si>
  <si>
    <t xml:space="preserve">Selles tabelis saab välja tuua kontori- ehk printeri- ja koopiapaberi ning pehmepaberi (lehträtikud, salvrätikud ja tualettpaber) kasutuse.
Kõige lihtsam on paberi arvestust pidada aasta jooksul ostetud kontoripaberi ja pehmepaberi arvulise koguse põhjal, mille saab üldjuhul võtta ostuarvetelt või küsida toodete tarnijalt. 
Paberite pakkides oleva arvulise koguse ning tualettpaberi rulli meetrite kohta saab infot ka toodete kodulehtedelt.
Tabelis arvutatakse  kontoripaberi lehtede koguarv ning paberite kaalud järgmistel eeldustel (vajadusel võib asendada allolevad väärtused teiste väärtustega): </t>
  </si>
  <si>
    <t>1 kontoripaberi pakk=</t>
  </si>
  <si>
    <t>lehte</t>
  </si>
  <si>
    <t>1 A4 leht=</t>
  </si>
  <si>
    <t>g</t>
  </si>
  <si>
    <t>1 lehträtik=</t>
  </si>
  <si>
    <t>1 salvrätik=</t>
  </si>
  <si>
    <t>1 m tualettpaberit=</t>
  </si>
  <si>
    <r>
      <t xml:space="preserve">Paberi tarbimisega seotud KHG jalajälg arvutatakse automaatselt lehel </t>
    </r>
    <r>
      <rPr>
        <i/>
        <sz val="11"/>
        <rFont val="Calibri"/>
        <family val="2"/>
      </rPr>
      <t>'KHG JALAJÄLG KOOND'</t>
    </r>
    <r>
      <rPr>
        <i/>
        <sz val="11"/>
        <rFont val="Calibri"/>
        <family val="2"/>
        <scheme val="minor"/>
      </rPr>
      <t>.</t>
    </r>
  </si>
  <si>
    <t>Ostetud kontoripaberi pakke (tk)</t>
  </si>
  <si>
    <t>Kontoripaberi lehti (A4) kokku</t>
  </si>
  <si>
    <t>Ostetud kontoripaber (kg)</t>
  </si>
  <si>
    <t>Ostetud lehträtikuid (tk)</t>
  </si>
  <si>
    <t>Ostetud lehträtikuid (kg)</t>
  </si>
  <si>
    <t>Ostetud salvrätikuid (tk)</t>
  </si>
  <si>
    <t>Ostetud salvrätikuid (kg)</t>
  </si>
  <si>
    <t>Ostetud tualettpaberit (m)</t>
  </si>
  <si>
    <t>Ostetud tualettpaberit (kg)</t>
  </si>
  <si>
    <t>Ostetud lehträtikuid (lehti)</t>
  </si>
  <si>
    <t>JÄÄTMETEKE</t>
  </si>
  <si>
    <r>
      <t>Jäätmete tekkekoguse teadasaamiseks on üldjuhul kaks võimalust. 
1. Kui majutusettevõttel on oma jäätmekonteinerid, siis saab olmejäätmete tekkekogust hinnata konteinerite mahu ja tühjendussageduse põhjal. Allolevasse tabelisse tuleks sisestada tekkinud segaolmejäätmete ja liigiti kogutud jäätmeliikide maht (m</t>
    </r>
    <r>
      <rPr>
        <i/>
        <vertAlign val="superscript"/>
        <sz val="11"/>
        <color theme="1"/>
        <rFont val="Aptos Narrow"/>
        <family val="2"/>
      </rPr>
      <t>3</t>
    </r>
    <r>
      <rPr>
        <i/>
        <sz val="11"/>
        <color theme="1"/>
        <rFont val="Aptos Narrow"/>
        <family val="2"/>
      </rPr>
      <t xml:space="preserve">) kuus ‒ need andmed saab arvetelt. Tabelis teisendatakse maht massikaaluks (kg), kasutades järgmisi jäätmeliikide mahu ja massi teisendamise koefitsiente: </t>
    </r>
  </si>
  <si>
    <t xml:space="preserve">Liigiti kogutud biojäätmed (toidujäätmed): </t>
  </si>
  <si>
    <r>
      <t>1 m</t>
    </r>
    <r>
      <rPr>
        <i/>
        <vertAlign val="superscript"/>
        <sz val="11"/>
        <color theme="1"/>
        <rFont val="Aptos Narrow"/>
        <family val="2"/>
      </rPr>
      <t>3</t>
    </r>
    <r>
      <rPr>
        <i/>
        <sz val="11"/>
        <color theme="1"/>
        <rFont val="Aptos Narrow"/>
        <family val="2"/>
      </rPr>
      <t>=</t>
    </r>
  </si>
  <si>
    <t>tonni</t>
  </si>
  <si>
    <t>kg</t>
  </si>
  <si>
    <t>Liigiti kogutud klaaspakend:</t>
  </si>
  <si>
    <t>Liigiti kogutud paber ja kartong:</t>
  </si>
  <si>
    <t>Liigiti kogutud segapakend:</t>
  </si>
  <si>
    <t xml:space="preserve">Segaolmejäätmed: </t>
  </si>
  <si>
    <t>Kui teie jäätmekäitleja annab oma massikaalud, siis tuleks ülaltoodud tabelis asendada olemasolevad koefitsiendid jäätmekäitleja antud koefitsientidega.
2. Juhul kui majutusettevõttes tekkinud jäätmed, sh liigiti kogutud jäätmed, pannakse teiste ettevõtetega ühistesse jäätmemahutitesse, siis ei ole võimalik teada saada ühe ettevõtte täpset olmejäätmete tekkekogust. Sel juhul soovitame teha majutusettevõttes jäätmeuuringu: ühe tüüpilise nädala jooksul kaaluda tekkinud olmejäätmed vastavalt tabelis olevatele liikidele (biojäätmed, klaaspakend, paber ja kartong, segapakend, segaolmejäätmed) ning tulemused korrutada nädalate arvuga kuus. Jäätmete kaalumist võiks teha 2‒3 korda aastas eri aastaaegadel. 
Olmejäätmete tekke ja käitlemisega seotud KHG jalajälje hindamiseks tuleb allolevas tabelis sisestada segaolmejäätmete kogus sellele reale, kuidas toimub nende jäätmete edasine käitlus kohta (põletamine või prügilasse ladestamine). Need andmed saab jäätmeveoteenust pakkuva ettevõtte käest.
Kui pole teada, kuhu segaolmejäätmed liiguvad, siis tuleks selleks valida segaolmejäätmete prügilasse ladestamine.</t>
  </si>
  <si>
    <r>
      <t>sisesta jäätmete maht (m</t>
    </r>
    <r>
      <rPr>
        <i/>
        <vertAlign val="superscript"/>
        <sz val="10"/>
        <rFont val="Aptos Narrow"/>
        <family val="2"/>
      </rPr>
      <t>3</t>
    </r>
    <r>
      <rPr>
        <i/>
        <sz val="10"/>
        <rFont val="Aptos Narrow"/>
        <family val="2"/>
      </rPr>
      <t>) VÕI kaal (kg)</t>
    </r>
  </si>
  <si>
    <r>
      <t>Liigiti kogutud biojäätmed (m</t>
    </r>
    <r>
      <rPr>
        <vertAlign val="superscript"/>
        <sz val="10"/>
        <rFont val="Aptos Narrow"/>
        <family val="2"/>
      </rPr>
      <t>3</t>
    </r>
    <r>
      <rPr>
        <sz val="10"/>
        <rFont val="Aptos Narrow"/>
        <family val="2"/>
      </rPr>
      <t>)</t>
    </r>
  </si>
  <si>
    <t>Liigiti kogutud biojäätmed (kg), mahu põhjal arvutatuna</t>
  </si>
  <si>
    <t>Liigiti kogutud biojäätmed (kg)</t>
  </si>
  <si>
    <r>
      <t>Liigiti kogutud klaaspakend (m</t>
    </r>
    <r>
      <rPr>
        <vertAlign val="superscript"/>
        <sz val="10"/>
        <rFont val="Aptos Narrow"/>
        <family val="2"/>
      </rPr>
      <t>3</t>
    </r>
    <r>
      <rPr>
        <sz val="10"/>
        <rFont val="Aptos Narrow"/>
        <family val="2"/>
      </rPr>
      <t>)</t>
    </r>
  </si>
  <si>
    <t>Liigiti kogutud klaaspakend (kg), mahu põhjal arvutatuna</t>
  </si>
  <si>
    <t>Liigiti kogutud klaaspakend (kg)</t>
  </si>
  <si>
    <r>
      <t>Liigiti kogutud paber ja kartong (m</t>
    </r>
    <r>
      <rPr>
        <vertAlign val="superscript"/>
        <sz val="10"/>
        <rFont val="Aptos Narrow"/>
        <family val="2"/>
      </rPr>
      <t>3</t>
    </r>
    <r>
      <rPr>
        <sz val="10"/>
        <rFont val="Aptos Narrow"/>
        <family val="2"/>
      </rPr>
      <t>)</t>
    </r>
  </si>
  <si>
    <t>Liigiti kogutud paber ja kartong (kg), mahu põhjal arvutatuna</t>
  </si>
  <si>
    <t>Liigiti kogutud paber ja kartong (kg)</t>
  </si>
  <si>
    <r>
      <t>Liigiti kogutud segapakend (m</t>
    </r>
    <r>
      <rPr>
        <vertAlign val="superscript"/>
        <sz val="10"/>
        <rFont val="Aptos Narrow"/>
        <family val="2"/>
      </rPr>
      <t>3</t>
    </r>
    <r>
      <rPr>
        <sz val="10"/>
        <rFont val="Aptos Narrow"/>
        <family val="2"/>
      </rPr>
      <t>)</t>
    </r>
  </si>
  <si>
    <t>Liigiti kogutud segapakend (kg), mahu põhjal arvutatuna</t>
  </si>
  <si>
    <t>Liigiti kogutud segapakend (kg)</t>
  </si>
  <si>
    <t>LIIGITI KOGUTUD JÄÄTMED KOKKU (kg)</t>
  </si>
  <si>
    <r>
      <t>Segaolmejäätmed, prügilasse ladestamine (m</t>
    </r>
    <r>
      <rPr>
        <vertAlign val="superscript"/>
        <sz val="10"/>
        <color theme="1"/>
        <rFont val="Aptos Narrow"/>
        <family val="2"/>
      </rPr>
      <t>3</t>
    </r>
    <r>
      <rPr>
        <sz val="10"/>
        <color theme="1"/>
        <rFont val="Aptos Narrow"/>
        <family val="2"/>
      </rPr>
      <t>)</t>
    </r>
  </si>
  <si>
    <t>Segaolmejäätmed, prügilasse ladestamine (kg), mahu põhjal arvutatuna</t>
  </si>
  <si>
    <t>Segaolmejäätmed, prügilasse ladestamine (kg)</t>
  </si>
  <si>
    <r>
      <t>Segaolmejäätmed, põletamine (m</t>
    </r>
    <r>
      <rPr>
        <vertAlign val="superscript"/>
        <sz val="10"/>
        <color theme="1"/>
        <rFont val="Aptos Narrow"/>
        <family val="2"/>
      </rPr>
      <t>3</t>
    </r>
    <r>
      <rPr>
        <sz val="10"/>
        <color theme="1"/>
        <rFont val="Aptos Narrow"/>
        <family val="2"/>
      </rPr>
      <t>)</t>
    </r>
  </si>
  <si>
    <t>Segaolmejäätmed, põletamine (kg), mahu põhjal arvutatuna</t>
  </si>
  <si>
    <t>Segaolmejäätmed, põletamine (kg)</t>
  </si>
  <si>
    <t>Segaolmejäätmed kokku (kg)</t>
  </si>
  <si>
    <t>OLMEJÄÄTMED KOKKU (kg)</t>
  </si>
  <si>
    <t>Olmejäätmete teke ööbimise kohta (kg/ööbimine)</t>
  </si>
  <si>
    <t>Liigiti kogutud jäätmete osakaal (%)</t>
  </si>
  <si>
    <t>ELEKTRI-, SOOJUSENERGIA, VEE- JA PABERIKASUTUSE NING JÄÄTMETEKKE KOONDTULEMUSED</t>
  </si>
  <si>
    <t>Sellel vahelehel võetakse kokku elektri-, soojusenergia, vee- ja paberikasutuse ning olmejäätmete tekke aastapõhised andmed eelmistelt töölehtedelt. Tabelite kõrval kuvatakse põhinäitajad joonistena.</t>
  </si>
  <si>
    <t>ELEKTRITARBIMINE</t>
  </si>
  <si>
    <t>Soojusenergia tarbimine ruutmeetri kohta (kWh/m²)</t>
  </si>
  <si>
    <t>Ostetud kontori- ja pehmepaber (kg)</t>
  </si>
  <si>
    <t>Ostetud kontori- ja pehmepaber (kg/ööbimine)</t>
  </si>
  <si>
    <t>OLMEJÄÄTMETE TEKE</t>
  </si>
  <si>
    <t>Liigiti kogutud jäätmed kokku (kg)</t>
  </si>
  <si>
    <t>Segaolmejäätmed (kg)</t>
  </si>
  <si>
    <t>Olmejäätmete teke kokku (kg)</t>
  </si>
  <si>
    <t>Olmejäätmete teke kokku (t)</t>
  </si>
  <si>
    <t>MAJUTUSETTEVÕTTE OMA SÕIDUKITE KÜTUSETARBIMINE</t>
  </si>
  <si>
    <t xml:space="preserve">Alltoodud tabelisse sisestage ettevõtte omanduses või valduses olevates sõidukites (sh maastikuhooldusmasinates ja niidukites) tarbitud kütuse kogus aastas. </t>
  </si>
  <si>
    <t>Nende sõidukite kütuse tarbimisest tulenev KHG heide arvestatakse mõjuala 1 alla ning sõidukite elektritarbimisest tulenev heide mõjuala 2 alla.</t>
  </si>
  <si>
    <t xml:space="preserve">Tabelis on võimalik valida kütustest bensiin, diislikütus, biometaan ja maagaas. Elektri puhul eristatakse taastuvelektrit ja tavaelektrit. </t>
  </si>
  <si>
    <r>
      <t xml:space="preserve">Kui töösõite on tehtud iskliku sõidukiga, mille kasutamist on ettevõte hüvitanud, siis nende sõitude KHG heitkogus arvutatakse lehel </t>
    </r>
    <r>
      <rPr>
        <sz val="11"/>
        <color theme="1"/>
        <rFont val="Aptos Narrow"/>
        <family val="2"/>
      </rPr>
      <t>'</t>
    </r>
    <r>
      <rPr>
        <i/>
        <sz val="11"/>
        <color theme="1"/>
        <rFont val="Aptos Narrow"/>
        <family val="2"/>
      </rPr>
      <t>KHG_TÖÖREISID M3</t>
    </r>
    <r>
      <rPr>
        <sz val="11"/>
        <color theme="1"/>
        <rFont val="Aptos Narrow"/>
        <family val="2"/>
      </rPr>
      <t>'</t>
    </r>
    <r>
      <rPr>
        <i/>
        <sz val="11"/>
        <color theme="1"/>
        <rFont val="Aptos Narrow"/>
        <family val="2"/>
      </rPr>
      <t xml:space="preserve"> (mõjuala 3).</t>
    </r>
  </si>
  <si>
    <t>KÜTUSE-/ ELEKTRIKULU</t>
  </si>
  <si>
    <r>
      <t>KHG HEITKOGUS 
(t CO</t>
    </r>
    <r>
      <rPr>
        <b/>
        <vertAlign val="subscript"/>
        <sz val="10"/>
        <color theme="1"/>
        <rFont val="Aptos Narrow"/>
        <family val="2"/>
      </rPr>
      <t>2</t>
    </r>
    <r>
      <rPr>
        <b/>
        <sz val="10"/>
        <color theme="1"/>
        <rFont val="Aptos Narrow"/>
        <family val="2"/>
      </rPr>
      <t xml:space="preserve"> ekv)</t>
    </r>
  </si>
  <si>
    <t>Majutusettevõtte oma sõidukid</t>
  </si>
  <si>
    <t>Tarbitud bensiini kogus (liitrit)</t>
  </si>
  <si>
    <t>Tarbitud diisli kogus (liitrit)</t>
  </si>
  <si>
    <t>Tarbitud biometaani kogus (kg)</t>
  </si>
  <si>
    <t>Tarbitud maagaasi kogus (kg)</t>
  </si>
  <si>
    <t>Tarbitud taastuvelektri kogus (kWh)</t>
  </si>
  <si>
    <t>Tarbitud tavaelektri kogus (kWh)</t>
  </si>
  <si>
    <t>Majutusettevõtte sõidukite kütusetarbimise KHG heitkogus kokku</t>
  </si>
  <si>
    <t>Majutusettevõtte sõidukite elektritarbimise KHG heitkogus kokku</t>
  </si>
  <si>
    <t>HAJUSHEITMED</t>
  </si>
  <si>
    <t>Fluoritud kasvuhoonegaaside ehk F-gaaside kasutamisest tuleneva KHG jalajälje arvutamiseks on vaja teada, kui palju majutusettevõtte külmutus- ja kliimaseadmetest aasta jooksul neid gaase atmosfääri lekib n-ö hajusheitmetena.
Üldjuhul saab seda hinnata igal aastal kliimaseadmetesse lisatavate F-gaaside koguse kaudu, mille kohta saab andmeid enamasti seadmete hooldusettevõttelt (või FOKA registrist).
Allolevas tabelis on veeru 'ANDMED' rippmenüüst võimalik valida enamlevinud F-gaaside tüübid. Veergu 'SÜSTEEMI VÕI SEADMESSE LISATUD (LEKKINUD) F-GAASI KOGUS' sisestada aastas seadmetesse/süsteemidesse täiendavalt lisatud F-gaasi kogus (mitte arvestada seadmete esmatäitmise või muid F-gaasi lisamise juhte, kui tegu pole nende gaaside kasutamisel tekkinud lekke kompenseerimisega).</t>
  </si>
  <si>
    <r>
      <t>Kui rippmenüüs teile vajalikke F-gaase ei ole, siis võib kasutada EKUKi kodulehel olevat F-gaaside CO</t>
    </r>
    <r>
      <rPr>
        <i/>
        <vertAlign val="subscript"/>
        <sz val="11"/>
        <color theme="1"/>
        <rFont val="Aptos Narrow"/>
        <family val="2"/>
      </rPr>
      <t>2</t>
    </r>
    <r>
      <rPr>
        <i/>
        <sz val="11"/>
        <color theme="1"/>
        <rFont val="Aptos Narrow"/>
        <family val="2"/>
      </rPr>
      <t xml:space="preserve"> ekvivalendi kalkulaatorit: 
https://www.klab.ee/f-gaasid/f-gaaside-co%e2%82%82-ekvivalendi-kalkulaator/ ning sisestada tulemuse lehe 'KHG JALAJÄLG KOOND' reale 'Hajusheitmed kliimaseadmetest' vastava aasta lahtrisse.</t>
    </r>
  </si>
  <si>
    <t>SÜSTEEMI VÕI SEADMESSE LISATUD (LEKKINUD) F-GAASI KOGUS (kg)</t>
  </si>
  <si>
    <t>GLOBAALSE SOOJENEMISE POTENTSIAAL</t>
  </si>
  <si>
    <t>Kasutatud F-gaas</t>
  </si>
  <si>
    <t>Hajusheitmete KHG heitkogus kokku</t>
  </si>
  <si>
    <t>SISSEOSTETUD PESUPESEMISTEENUS</t>
  </si>
  <si>
    <t>Pesupesemisteenuse KHG jalajälg arvutatakse selles mudelis pesupesemisprotsessis (sh kuivatamisel ja triikimisel) kasutatud elektri- ja soojusenergia põhjal.</t>
  </si>
  <si>
    <r>
      <t>Kõige täpsema tulemuse annab, kui on teada aastas pestud pesu kaal ja teenusepakkuja KHG eriheitetegur CO</t>
    </r>
    <r>
      <rPr>
        <i/>
        <vertAlign val="subscript"/>
        <sz val="11"/>
        <color theme="1"/>
        <rFont val="Aptos Narrow"/>
        <family val="2"/>
      </rPr>
      <t>2</t>
    </r>
    <r>
      <rPr>
        <i/>
        <sz val="11"/>
        <color theme="1"/>
        <rFont val="Aptos Narrow"/>
        <family val="2"/>
      </rPr>
      <t xml:space="preserve"> ekvivalentides ühe tonni töödeldud pesu kohta. See eeldab, et majutusettevõte küsib pesuteenuse pakkujalt nende poolt pestud pesu (ühe tonni pestud, sh kuivatatud ja triigitud) KHG heite andmeid CO</t>
    </r>
    <r>
      <rPr>
        <i/>
        <vertAlign val="subscript"/>
        <sz val="11"/>
        <color theme="1"/>
        <rFont val="Aptos Narrow"/>
        <family val="2"/>
      </rPr>
      <t>2</t>
    </r>
    <r>
      <rPr>
        <i/>
        <sz val="11"/>
        <color theme="1"/>
        <rFont val="Aptos Narrow"/>
        <family val="2"/>
      </rPr>
      <t xml:space="preserve"> ekvivalentides). Majutusettevõte peab küsima, kas esitatud andmed tuginevad tunnustatud metoodikale ja sisaldavad pesu pesemisprotsessis kasutatud energia (elekter või muud kütused) kulu.</t>
    </r>
  </si>
  <si>
    <r>
      <t>Kui teenusepakkujalt CO</t>
    </r>
    <r>
      <rPr>
        <i/>
        <vertAlign val="subscript"/>
        <sz val="11"/>
        <color theme="1"/>
        <rFont val="Aptos Narrow"/>
        <family val="2"/>
      </rPr>
      <t>2</t>
    </r>
    <r>
      <rPr>
        <i/>
        <sz val="11"/>
        <color theme="1"/>
        <rFont val="Aptos Narrow"/>
        <family val="2"/>
      </rPr>
      <t xml:space="preserve"> ekvivalentide kulu teada ei saa, siis paremuselt järgmine alternatiiv on arvutada KHG heitkogus pesu kaalu ja Eesti pesumajade keskmise KHG eriheiteteguri järgi (käesolevas mudelis on see välja pakutud).
</t>
    </r>
  </si>
  <si>
    <t>Kui pesu kaal ei ole teada, arvutatakse pesu kogus (tonnides) hõivatud tubade arvu järgi. Ühe hõivatud toa pesu koguseks on hinnanguliselt 5,13 kg/päev (HCMI v2.0 Tool &gt; Definitions, Laundry Today).</t>
  </si>
  <si>
    <t>Allolevas tabel vastake esmalt küsimusele I variandi andmete olemasolu kohta, valides rippmenüüst jah või ei. Kui vastate jah, sisestage pesu kaal (tonni/aastas) ja teenusepakkuja KHG eriheitetegur. Kui vastate ei, liikuge edasi II variandi juurde ja valige küsimusele pesu kaalu kohta rippmenüüst vastus jah või ei. Vastates jah, sisestage pesu kaal (tonni/aastas). Vastates ei, liikuge edasi III variandi juurde ja sisestage hõivatud tubade arv aastas.</t>
  </si>
  <si>
    <r>
      <t>KHG HEITKOGUS 
t CO</t>
    </r>
    <r>
      <rPr>
        <b/>
        <vertAlign val="subscript"/>
        <sz val="10"/>
        <rFont val="Aptos Narrow"/>
        <family val="2"/>
      </rPr>
      <t xml:space="preserve">2 </t>
    </r>
    <r>
      <rPr>
        <b/>
        <sz val="10"/>
        <rFont val="Aptos Narrow"/>
        <family val="2"/>
      </rPr>
      <t>ekv</t>
    </r>
  </si>
  <si>
    <t xml:space="preserve">I variant. KHG heitkoguse arvutamine pesu kaalu ja teenusepakkuja KHG eriheiteteguri järgi </t>
  </si>
  <si>
    <r>
      <t>Kas teil on teada pesu kaal ja teenusepakkuja välja arvutatud KHG eriheitetegur (t CO</t>
    </r>
    <r>
      <rPr>
        <b/>
        <vertAlign val="subscript"/>
        <sz val="10"/>
        <rFont val="Aptos Narrow"/>
        <family val="2"/>
      </rPr>
      <t>2</t>
    </r>
    <r>
      <rPr>
        <b/>
        <sz val="10"/>
        <rFont val="Aptos Narrow"/>
        <family val="2"/>
      </rPr>
      <t xml:space="preserve"> ekv/t)?</t>
    </r>
  </si>
  <si>
    <r>
      <t>t CO</t>
    </r>
    <r>
      <rPr>
        <vertAlign val="subscript"/>
        <sz val="10"/>
        <rFont val="Aptos Narrow"/>
        <family val="2"/>
      </rPr>
      <t>2</t>
    </r>
    <r>
      <rPr>
        <sz val="10"/>
        <rFont val="Aptos Narrow"/>
        <family val="2"/>
      </rPr>
      <t xml:space="preserve"> ekv</t>
    </r>
  </si>
  <si>
    <r>
      <t>t CO</t>
    </r>
    <r>
      <rPr>
        <vertAlign val="subscript"/>
        <sz val="10"/>
        <color theme="1"/>
        <rFont val="Aptos Narrow"/>
        <family val="2"/>
      </rPr>
      <t>2</t>
    </r>
    <r>
      <rPr>
        <sz val="10"/>
        <color theme="1"/>
        <rFont val="Aptos Narrow"/>
        <family val="2"/>
      </rPr>
      <t xml:space="preserve"> ekv</t>
    </r>
  </si>
  <si>
    <t>Pesupesemisteenuse KHG heitkogus kokku aastas</t>
  </si>
  <si>
    <t>TÖÖREISID</t>
  </si>
  <si>
    <t>Kui tööreisid on teie majutusettevõtte seisukohalt asjakohased ja olulised KHG heitkoguste arvestamisel, siis siia lehele saate sisestada aasta jooksul tööreisidel sõidukitega läbitud vahemaa. 
Siia alla kuuluvad ka isikliku või kasutusõigusega sõidukiga, mis ei ole ettevõtte omanduses või valduses, tehtud töösõidud, kui ettevõte on need sõidupäeviku alusel hüvitanud.</t>
  </si>
  <si>
    <t xml:space="preserve">Autode puhul on võimalik eraldi arvestada bensiini-, diisli-, gaasi-, hübriid- või elektriautodega läbitud vahemaa. Elektriautode puhul märkida, kas laadimiseks kasutati tavaelektrit või taastuvat elektrit. </t>
  </si>
  <si>
    <t xml:space="preserve">Ühissõidukite puhul on vaja sisestada vastava sõidukiliigiga läbitud sõitjakilomeetrid (üks sõitjakilomeeter (sõitja-km) on ühe sõitja vedamine ühe kilomeetri kaugusele).
Tööreisideks kasutatavate sõidukite ja läbitud vahemaade igaaastaste koondandmete sisestamine eeldab, et majutusettevõte peab eraldi arvestust selliste andmete kogumiseks oma töötajate töösõitude dokumenteerimisel. </t>
  </si>
  <si>
    <r>
      <t>Kui soovite tööreisidest ja -sõitudest tuleneva KHG heitkoguse ise välja arvutada (nt kui teil on tööreiside KHG jalajälje arvutamise süsteem juba eraldi olemas), siis sisestage vastava sõidukiliigi kasutamisest tulenev KHG heide (tonni CO</t>
    </r>
    <r>
      <rPr>
        <i/>
        <vertAlign val="subscript"/>
        <sz val="11"/>
        <rFont val="Aptos Narrow"/>
        <family val="2"/>
      </rPr>
      <t>2</t>
    </r>
    <r>
      <rPr>
        <i/>
        <sz val="11"/>
        <rFont val="Aptos Narrow"/>
        <family val="2"/>
      </rPr>
      <t xml:space="preserve"> ekvivalenti) veergu 'KHG HEITKOGUS (ise välja arvutatuna)'. </t>
    </r>
  </si>
  <si>
    <t xml:space="preserve">LÄBITUD VAHEMAA </t>
  </si>
  <si>
    <t>KHG HEITKOGUS (läbitud vahemaa põhjal arvutatud)</t>
  </si>
  <si>
    <t>KHG HEITKOGUS 
(ise välja arvutatuna)</t>
  </si>
  <si>
    <t>Tööreisid autoga</t>
  </si>
  <si>
    <t>km</t>
  </si>
  <si>
    <r>
      <t>t CO</t>
    </r>
    <r>
      <rPr>
        <b/>
        <vertAlign val="subscript"/>
        <sz val="10"/>
        <color theme="1"/>
        <rFont val="Aptos Narrow"/>
        <family val="2"/>
      </rPr>
      <t>2</t>
    </r>
    <r>
      <rPr>
        <b/>
        <sz val="10"/>
        <color theme="1"/>
        <rFont val="Aptos Narrow"/>
        <family val="2"/>
      </rPr>
      <t xml:space="preserve"> ekv</t>
    </r>
  </si>
  <si>
    <t>Bensiiniauto</t>
  </si>
  <si>
    <t>Diiselauto</t>
  </si>
  <si>
    <t>Gaasiauto (biometaan)</t>
  </si>
  <si>
    <t>Gaasiauto (maagaas)</t>
  </si>
  <si>
    <t>Hübriidauto</t>
  </si>
  <si>
    <t>Taastuvelektriga laaditud elektriauto</t>
  </si>
  <si>
    <t>Tavaelektriga laaditud elektriauto</t>
  </si>
  <si>
    <t>Takso</t>
  </si>
  <si>
    <t>Tööreisid ühistranspordiga</t>
  </si>
  <si>
    <t>sõitja-km</t>
  </si>
  <si>
    <t>Kaugliinibuss</t>
  </si>
  <si>
    <t>Linnaliinibuss Tallinnas</t>
  </si>
  <si>
    <t>Linnaliinibuss mujal Eestis</t>
  </si>
  <si>
    <t>Diiselrong</t>
  </si>
  <si>
    <t>Elektrirong</t>
  </si>
  <si>
    <t>Laev</t>
  </si>
  <si>
    <t>Lennuk</t>
  </si>
  <si>
    <t>Tööreiside KHG heitkogus kokku</t>
  </si>
  <si>
    <t>SISSEOSTETUD TRANSPORDITEENUS</t>
  </si>
  <si>
    <r>
      <t>Sisseostetud transporditeenuse  (nt kaupade ja pesu vedu) KHG jalajälje hindamiseks on siin töölehel järgmised võimalused, millest valida üks variant.
1. Küsida transporditeenuse osutajalt teie majutusettevõttega seotud vedude kasvuhoonegaaside koguheide (t CO</t>
    </r>
    <r>
      <rPr>
        <i/>
        <vertAlign val="subscript"/>
        <sz val="11"/>
        <rFont val="Aptos Narrow"/>
        <family val="2"/>
      </rPr>
      <t>2</t>
    </r>
    <r>
      <rPr>
        <i/>
        <sz val="11"/>
        <rFont val="Aptos Narrow"/>
        <family val="2"/>
      </rPr>
      <t xml:space="preserve"> ekv) arvestusaastas ja sisestada see veergu </t>
    </r>
    <r>
      <rPr>
        <sz val="11"/>
        <rFont val="Aptos Narrow"/>
        <family val="2"/>
      </rPr>
      <t>'</t>
    </r>
    <r>
      <rPr>
        <i/>
        <sz val="11"/>
        <rFont val="Aptos Narrow"/>
        <family val="2"/>
      </rPr>
      <t>KHG HEITKOGUS (transpordiettevõtte välja arvutatuna)' (variant I). Transpordiettevõte peaks andma infot ka metoodika kohta, kuidas KHG koguheide on välja arvutatud ja milliseid kütuseid on teenuse osutamiseks kasutatud.</t>
    </r>
  </si>
  <si>
    <t>2. Arvutada KHG heitkogus aastas teenuse osutamiseks kulunud kütuseliitrite või elektrienergia kilovatt-tundide põhjal (variant II). 
Kaubiku puhul saab valida kas kasutatud on bensiini-, diisel- või elektrimootoriga kaubiku teenust (sh tava- või taastuva elektriga sõitev kaubik), bussi puhul on valida diiselmootoriga buss või väikebuss. 
3. Kui teenusepakkujalt pole võimalik kulunud kütuseliitrite või elektrienergia kohta andmeid saada, tuleks tabelisse märkida vastava sõidukitüübiga veetud kauba või reisijate vahemaa kilomeetrites (variant III) või tonn-kilomeetrites (variant IV). 
Ühe veo tonnkilomeetrite arvutamiseks korrutatakse vastava sõidukiliigiga tehtud veo kaugus (km) kauba kaaluga tonnides.</t>
  </si>
  <si>
    <t>Majutusettevõtte oma töötajate tööreisidest tulenev KHG heide arvestatakse lehel 'KHG_TÖÖREISID M3'. 
Külastajate saabumise  ja lahkumisega seotud transporti ei arvestata majutusettevõtte KHG jalajälje hulka.</t>
  </si>
  <si>
    <t>Variant I</t>
  </si>
  <si>
    <t>Variant II</t>
  </si>
  <si>
    <t>Variant III</t>
  </si>
  <si>
    <t>Variant IV</t>
  </si>
  <si>
    <t>KHG HEITKOGUS 
(transpordiettevõtte välja arvutatuna)</t>
  </si>
  <si>
    <t>KHG HEITKOGUS
(kütuse-/elektrikulu põhjal)</t>
  </si>
  <si>
    <t>KHG HEITKOGUS 
(läbisõidu põhjal)</t>
  </si>
  <si>
    <t>KHG HEITKOGUS AASTAS KOKKU</t>
  </si>
  <si>
    <t>l või kWh</t>
  </si>
  <si>
    <r>
      <t>t CO</t>
    </r>
    <r>
      <rPr>
        <b/>
        <vertAlign val="subscript"/>
        <sz val="10"/>
        <rFont val="Aptos Narrow"/>
        <family val="2"/>
      </rPr>
      <t>2</t>
    </r>
    <r>
      <rPr>
        <b/>
        <sz val="10"/>
        <rFont val="Aptos Narrow"/>
        <family val="2"/>
      </rPr>
      <t xml:space="preserve"> ekv l, kg või kWh kohta</t>
    </r>
  </si>
  <si>
    <r>
      <t>t CO</t>
    </r>
    <r>
      <rPr>
        <b/>
        <vertAlign val="subscript"/>
        <sz val="10"/>
        <rFont val="Aptos Narrow"/>
        <family val="2"/>
      </rPr>
      <t>2</t>
    </r>
    <r>
      <rPr>
        <b/>
        <sz val="10"/>
        <rFont val="Aptos Narrow"/>
        <family val="2"/>
      </rPr>
      <t xml:space="preserve"> ekv/km</t>
    </r>
  </si>
  <si>
    <t>tonn-km</t>
  </si>
  <si>
    <r>
      <t>t CO</t>
    </r>
    <r>
      <rPr>
        <b/>
        <vertAlign val="subscript"/>
        <sz val="10"/>
        <rFont val="Aptos Narrow"/>
        <family val="2"/>
      </rPr>
      <t>2</t>
    </r>
    <r>
      <rPr>
        <b/>
        <sz val="10"/>
        <rFont val="Aptos Narrow"/>
        <family val="2"/>
      </rPr>
      <t xml:space="preserve"> ekv/tonn-km</t>
    </r>
  </si>
  <si>
    <r>
      <t>t CO</t>
    </r>
    <r>
      <rPr>
        <b/>
        <vertAlign val="subscript"/>
        <sz val="10"/>
        <rFont val="Aptos Narrow"/>
        <family val="2"/>
      </rPr>
      <t>2</t>
    </r>
    <r>
      <rPr>
        <b/>
        <sz val="10"/>
        <rFont val="Aptos Narrow"/>
        <family val="2"/>
      </rPr>
      <t xml:space="preserve"> ekv</t>
    </r>
  </si>
  <si>
    <t>Kaubik, bensiin</t>
  </si>
  <si>
    <t>Kaubik, diisel</t>
  </si>
  <si>
    <t xml:space="preserve">Kaubik, taastuvelekter </t>
  </si>
  <si>
    <t>Kaubik, tavaelekter</t>
  </si>
  <si>
    <t>Buss, diisel</t>
  </si>
  <si>
    <t>Väikebuss, diisel</t>
  </si>
  <si>
    <t>Sisseostetud transporditeenuse KHG heitkogus kokku</t>
  </si>
  <si>
    <t>KHG HEITKOGUS 
(kütuse-/elektrikulu põhjal)</t>
  </si>
  <si>
    <t>KLIENDI KASVUHOONEGAASIDE JALAJÄLJE ARVUTAMISE ANDMED</t>
  </si>
  <si>
    <r>
      <t>Siin lehel olevate andmetega saab arvutada majutusettevõttes ööbimisest ja seminari-/koosolekuruumi(de) kasutamisest tulenevat KHG jalajälge (kg CO</t>
    </r>
    <r>
      <rPr>
        <i/>
        <vertAlign val="subscript"/>
        <sz val="11"/>
        <color theme="1"/>
        <rFont val="Aptos Narrow"/>
        <family val="2"/>
      </rPr>
      <t>2</t>
    </r>
    <r>
      <rPr>
        <i/>
        <sz val="11"/>
        <color theme="1"/>
        <rFont val="Aptos Narrow"/>
        <family val="2"/>
      </rPr>
      <t xml:space="preserve"> ekv).</t>
    </r>
  </si>
  <si>
    <t>Ööbimise KHG jalajälje arvutamine kliendile</t>
  </si>
  <si>
    <r>
      <t>Kliendile tema ööbimise KHG jalajälje arvutamiseks kasutage all esitatud tabelis toodud arvnäitajat (KHG jalajälg ööbimise kohta (kg CO</t>
    </r>
    <r>
      <rPr>
        <i/>
        <vertAlign val="subscript"/>
        <sz val="11"/>
        <color theme="1"/>
        <rFont val="Aptos Narrow"/>
        <family val="2"/>
      </rPr>
      <t>2</t>
    </r>
    <r>
      <rPr>
        <i/>
        <sz val="11"/>
        <color theme="1"/>
        <rFont val="Aptos Narrow"/>
        <family val="2"/>
      </rPr>
      <t xml:space="preserve"> ekv/tuba/ööpäev)).
Valige tabelist näitaja, mis vastab ööbimise aastale (KHG jalajälg ööbimise kohta arvutatakse konkreetse aasta keskmisena, mitte konkreetse kuu või kuupäeva põhiselt).
Näide 1.
Kui klient ööbis kaks ööd majutusettevõttes, siis arvutatakse tema KHG jalajälg: 1 inimene x 2 ööd x KHG jalajälg ööbimise kohta (võtta tabelist).
Näide 2.
Kui kaks klienti ööbisid eraldi tubades kaks ööd, siis arvutatakse nende KHG jalajälg: 2 inimest x 2 tuba x 2 ööd x KHG jalajälg ööbimise kohta (võtta tabelist).
Antud juhul ei eristata, mitu inimest ühes toas ööbis.
Kliendile tema ööbimiste jalajälje arvutamiseks tuleb seega teha eraldi arvutus, mille jaoks võib luua omaette arvutuskeskkonna, mis kasutab käesoleva mudeli andmeid (vt tabel all).</t>
    </r>
  </si>
  <si>
    <t>ÖÖBIMISE ANDMED</t>
  </si>
  <si>
    <r>
      <t>KHG jalajälg ööbimise kohta (kg CO</t>
    </r>
    <r>
      <rPr>
        <b/>
        <vertAlign val="subscript"/>
        <sz val="10"/>
        <rFont val="Aptos Narrow"/>
        <family val="2"/>
      </rPr>
      <t>2</t>
    </r>
    <r>
      <rPr>
        <b/>
        <sz val="10"/>
        <rFont val="Aptos Narrow"/>
        <family val="2"/>
      </rPr>
      <t xml:space="preserve"> ekv/tuba/ööpäev)</t>
    </r>
  </si>
  <si>
    <t>Seminari-/koosolekuruumi(de) kasutamise KHG jalajälje arvutamine kliendile</t>
  </si>
  <si>
    <r>
      <t>Kliendile seminari-/koosolekuruumi(de) kasutamise KHG jalajälje arvutamiseks kasutage all esitatud tabelis toodud arvnäitajat (KHG jalajälg koosolekuruumi m</t>
    </r>
    <r>
      <rPr>
        <i/>
        <vertAlign val="superscript"/>
        <sz val="11"/>
        <rFont val="Aptos Narrow"/>
        <family val="2"/>
      </rPr>
      <t>2</t>
    </r>
    <r>
      <rPr>
        <i/>
        <sz val="11"/>
        <rFont val="Aptos Narrow"/>
        <family val="2"/>
      </rPr>
      <t xml:space="preserve"> kohta tunnis (kg CO</t>
    </r>
    <r>
      <rPr>
        <i/>
        <vertAlign val="subscript"/>
        <sz val="11"/>
        <rFont val="Aptos Narrow"/>
        <family val="2"/>
      </rPr>
      <t>2</t>
    </r>
    <r>
      <rPr>
        <i/>
        <sz val="11"/>
        <rFont val="Aptos Narrow"/>
        <family val="2"/>
      </rPr>
      <t xml:space="preserve"> ekv/m</t>
    </r>
    <r>
      <rPr>
        <i/>
        <vertAlign val="superscript"/>
        <sz val="11"/>
        <rFont val="Aptos Narrow"/>
        <family val="2"/>
      </rPr>
      <t>2</t>
    </r>
    <r>
      <rPr>
        <i/>
        <sz val="11"/>
        <rFont val="Aptos Narrow"/>
        <family val="2"/>
      </rPr>
      <t>/h)).
Tunnipõhine KHG jalajälg on arvutatud eeldusel, et seminari-/koosolekuruumi saab kasutada 365 päeva aastas ja 10 tundi päevas.
Valige tabelist näitaja, mis vastab seminari-/koosolekuruumi kasutamise aastale (KHG jalajälg arvutatakse konkreetse aasta keskmisena, mitte konkreetse kuu või kuupäeva põhiselt).
Näide.
Kui klient kasutas koosolekuruumi, mille pindala on 50 m</t>
    </r>
    <r>
      <rPr>
        <i/>
        <vertAlign val="superscript"/>
        <sz val="11"/>
        <rFont val="Aptos Narrow"/>
        <family val="2"/>
      </rPr>
      <t>2</t>
    </r>
    <r>
      <rPr>
        <i/>
        <sz val="11"/>
        <rFont val="Aptos Narrow"/>
        <family val="2"/>
      </rPr>
      <t>, 8 tundi, siis arvutatakse tema KHG jalajälg: 50 ruutmeetrit x 8 tundi x KHG jalajälg koosolekuruumi ruutmeetri kohta tunnis (võtta tabelist).
Kliendile seminari-/koosolekuruumi(de) jalajälje arvutamiseks tuleb seega teha eraldi arvutus, mille jaoks on samuti soovitatav luua omaette arvutuskeskkond, mis kasutab käesoleva mudeli andmeid (vt tabel all).</t>
    </r>
  </si>
  <si>
    <t>SEMINARI-/KOOSOLEKURUUMIDE ANDMED</t>
  </si>
  <si>
    <r>
      <t>KHG jalajälg koosolekuruumi m</t>
    </r>
    <r>
      <rPr>
        <b/>
        <vertAlign val="superscript"/>
        <sz val="10"/>
        <rFont val="Aptos Narrow"/>
        <family val="2"/>
      </rPr>
      <t>2</t>
    </r>
    <r>
      <rPr>
        <b/>
        <sz val="10"/>
        <rFont val="Aptos Narrow"/>
        <family val="2"/>
      </rPr>
      <t xml:space="preserve"> kohta tunnis (kg CO</t>
    </r>
    <r>
      <rPr>
        <b/>
        <vertAlign val="subscript"/>
        <sz val="10"/>
        <rFont val="Aptos Narrow"/>
        <family val="2"/>
      </rPr>
      <t>2</t>
    </r>
    <r>
      <rPr>
        <b/>
        <sz val="10"/>
        <rFont val="Aptos Narrow"/>
        <family val="2"/>
      </rPr>
      <t xml:space="preserve"> ekv/m</t>
    </r>
    <r>
      <rPr>
        <b/>
        <vertAlign val="superscript"/>
        <sz val="10"/>
        <rFont val="Aptos Narrow"/>
        <family val="2"/>
      </rPr>
      <t>2</t>
    </r>
    <r>
      <rPr>
        <b/>
        <sz val="10"/>
        <rFont val="Aptos Narrow"/>
        <family val="2"/>
      </rPr>
      <t>/h)</t>
    </r>
  </si>
  <si>
    <t>MAJUTUSETTEVÕTTE KASVUHOONEGAASIDE JALAJÄLJE KOONDTULEMUS</t>
  </si>
  <si>
    <t xml:space="preserve">Siin lehel võetakse kokku majutusettevõtte energiatarbimisest, transpordist, hajusheitmetest, vee- ja paberikasutusest ning olmejäätmetest tulenev KHG jalajälg. Tulemused on esitatud mõjualade kaupa. Tabeli alumises osas tuuakse välja majutusettevõtte KHG jalajälg ruutmeetri kohta, tubade ja üldkasutatavate alade ning koosolekuruumide kohta. </t>
  </si>
  <si>
    <t>KHG JALAJÄLG MÕJUALADE KAUPA (CO₂ ekv t/a)</t>
  </si>
  <si>
    <t>Majutusettevõtte sõidukite kütusetarbimine</t>
  </si>
  <si>
    <t>Hajusheitmed kliimaseadmetest</t>
  </si>
  <si>
    <t>MÕJUALA 1 KOKKU</t>
  </si>
  <si>
    <t xml:space="preserve">Majutusettevõtte elektrienergia tarbimine </t>
  </si>
  <si>
    <t xml:space="preserve">Majtutusettevõtte soojusenergia tarbimine </t>
  </si>
  <si>
    <t>Majutusettevõtte sõidukite elektritarbimine</t>
  </si>
  <si>
    <t>MÕJUALA 2 KOKKU</t>
  </si>
  <si>
    <t>Sisseostetud pesupesemisteenus</t>
  </si>
  <si>
    <t>Tööreisid</t>
  </si>
  <si>
    <t>Joonise andmed:</t>
  </si>
  <si>
    <t>Sisseostetud transporditeenus</t>
  </si>
  <si>
    <t>MÕJUALA 1</t>
  </si>
  <si>
    <t>Majutusettevõtte sõidukite kütus</t>
  </si>
  <si>
    <t>Veetarbimine ja reovee käitlus</t>
  </si>
  <si>
    <t>Hajusheitmed</t>
  </si>
  <si>
    <t>Paberikasutus</t>
  </si>
  <si>
    <t>Mõjuala 1 kokku</t>
  </si>
  <si>
    <t>Jäätmekäitlus</t>
  </si>
  <si>
    <t>MÕJUALA 2</t>
  </si>
  <si>
    <t>Majutusettevõtte elekter</t>
  </si>
  <si>
    <t>MÕJUALA 3 KOKKU</t>
  </si>
  <si>
    <t>Majutusettevõtte küte</t>
  </si>
  <si>
    <t>Majutusettevõtte elektriautod</t>
  </si>
  <si>
    <t>Mõjuala 2 kokku</t>
  </si>
  <si>
    <t>MÕJUALA 3</t>
  </si>
  <si>
    <t>Pesupesemisteenus</t>
  </si>
  <si>
    <t>Mõjuala 1 ‒ majutusettevõtte omatud/kontrollitud heiteallikatest tulenev otsene KHG heide</t>
  </si>
  <si>
    <t>Mõjuala 2 ‒ energiatarbimisest tulenev kaudne KHG heide</t>
  </si>
  <si>
    <t>Transporditeenus</t>
  </si>
  <si>
    <t xml:space="preserve">Mõjuala 3 ‒ muu kaudne KHG heide </t>
  </si>
  <si>
    <t>Vesi</t>
  </si>
  <si>
    <r>
      <t>KHG JALAJÄLG KOKKU (t CO</t>
    </r>
    <r>
      <rPr>
        <b/>
        <vertAlign val="subscript"/>
        <sz val="10"/>
        <rFont val="Aptos Narrow"/>
        <family val="2"/>
      </rPr>
      <t>2</t>
    </r>
    <r>
      <rPr>
        <b/>
        <sz val="10"/>
        <rFont val="Aptos Narrow"/>
        <family val="2"/>
      </rPr>
      <t xml:space="preserve"> ekv/a)</t>
    </r>
  </si>
  <si>
    <t>Paber</t>
  </si>
  <si>
    <t>Jäätmed</t>
  </si>
  <si>
    <r>
      <t>KHG koondjalajälg majutusettevõtte ruutmeetri kohta aastas (kg CO</t>
    </r>
    <r>
      <rPr>
        <b/>
        <vertAlign val="subscript"/>
        <sz val="10"/>
        <rFont val="Aptos Narrow"/>
        <family val="2"/>
      </rPr>
      <t>2</t>
    </r>
    <r>
      <rPr>
        <b/>
        <sz val="10"/>
        <rFont val="Aptos Narrow"/>
        <family val="2"/>
      </rPr>
      <t xml:space="preserve"> ekv/a)</t>
    </r>
  </si>
  <si>
    <t>Mõjuala 3 kokku</t>
  </si>
  <si>
    <t>KOKKU</t>
  </si>
  <si>
    <r>
      <t>Tubade ja üldkasutatavate alade KHG jalajälg aastas (t CO</t>
    </r>
    <r>
      <rPr>
        <b/>
        <vertAlign val="subscript"/>
        <sz val="10"/>
        <rFont val="Aptos Narrow"/>
        <family val="2"/>
      </rPr>
      <t>2</t>
    </r>
    <r>
      <rPr>
        <b/>
        <sz val="10"/>
        <rFont val="Aptos Narrow"/>
        <family val="2"/>
      </rPr>
      <t xml:space="preserve"> ekv/a)</t>
    </r>
  </si>
  <si>
    <r>
      <t>Seminari-/koosolekuruumide KHG jalajälg aastas (t CO</t>
    </r>
    <r>
      <rPr>
        <b/>
        <vertAlign val="subscript"/>
        <sz val="10"/>
        <rFont val="Aptos Narrow"/>
        <family val="2"/>
      </rPr>
      <t>2</t>
    </r>
    <r>
      <rPr>
        <b/>
        <sz val="10"/>
        <rFont val="Aptos Narrow"/>
        <family val="2"/>
      </rPr>
      <t xml:space="preserve"> ekv/a)</t>
    </r>
  </si>
  <si>
    <t>Vali aasta</t>
  </si>
  <si>
    <t>ERIHEITETEGURID</t>
  </si>
  <si>
    <t xml:space="preserve">KHG jalajälje arvutamise aluseks olevad eriheitetegurid põhinevad Kliimaministeeriumi poolt kinnitatud vastaval andmebaasil (https://kliimaministeerium.ee/organisatsioonide-khg-jalajalg). 
Elektrienergia ja kaugkütte vastava võrgupiirkonna heitetegurid saab ise sisestada tabelis toodud allikate põhjal. 
Tabelisse on sisestatud 2024. aastal välja arvutatud eriheitetegurid ning seisuga aprill 2025 välja arvutatud eriheitetegurid. Punasega on eelsisestatud eriheitetegurid ka 2025. a kohta, mis tuleb asendada uute väärtustega, kui vastavad eriheitetegurid 2025. aastal avaldatakse. </t>
  </si>
  <si>
    <t>M2 - Sisseostetud elekter</t>
  </si>
  <si>
    <t>Aasta</t>
  </si>
  <si>
    <t>Elektrienergia segajäägi eriheide</t>
  </si>
  <si>
    <t>Eriheitetegur</t>
  </si>
  <si>
    <t>Ühik</t>
  </si>
  <si>
    <t>Allikas</t>
  </si>
  <si>
    <t>Elektrienergia segajääk</t>
  </si>
  <si>
    <r>
      <t>kg CO</t>
    </r>
    <r>
      <rPr>
        <vertAlign val="subscript"/>
        <sz val="10"/>
        <color theme="1"/>
        <rFont val="Aptos Narrow"/>
        <family val="2"/>
      </rPr>
      <t>2</t>
    </r>
    <r>
      <rPr>
        <sz val="10"/>
        <color theme="1"/>
        <rFont val="Aptos Narrow"/>
        <family val="2"/>
      </rPr>
      <t>/kWh</t>
    </r>
  </si>
  <si>
    <t>Elering 2024. Elektrienergia segajäägi eriheide 2023</t>
  </si>
  <si>
    <t>Sisestage ise vastava aasta segajäägi eriheitetegur, mis avaldatakse iga aasta juunis eelmise aasta kohta lehel https://elering.ee/segajaak</t>
  </si>
  <si>
    <t xml:space="preserve">M2 - Sisseostetud soojusenergia </t>
  </si>
  <si>
    <t>Kaugkütte võrgupiirkond - Tallinn</t>
  </si>
  <si>
    <t>Tallinn</t>
  </si>
  <si>
    <r>
      <t>kg CO</t>
    </r>
    <r>
      <rPr>
        <vertAlign val="subscript"/>
        <sz val="10"/>
        <color theme="1"/>
        <rFont val="Aptos Narrow"/>
        <family val="2"/>
      </rPr>
      <t xml:space="preserve">2 </t>
    </r>
    <r>
      <rPr>
        <sz val="10"/>
        <color theme="1"/>
        <rFont val="Aptos Narrow"/>
        <family val="2"/>
      </rPr>
      <t>ekv/kWh</t>
    </r>
  </si>
  <si>
    <t>AS Utilitas 2024. CO₂ heitetegur 2023</t>
  </si>
  <si>
    <t>AS Utilitas 2025. CO₂ heitetegur 2024</t>
  </si>
  <si>
    <t>Sisestage ise vastava aasta kaugkütte eriheitetegur, mis avaldatakse AS Utilitase iseteenindusportaalis</t>
  </si>
  <si>
    <t>Kaugkütte võrgupiirkond - Tartu</t>
  </si>
  <si>
    <t>Tartu</t>
  </si>
  <si>
    <r>
      <t>AS Gren 2024. CO</t>
    </r>
    <r>
      <rPr>
        <vertAlign val="subscript"/>
        <sz val="10"/>
        <color theme="1"/>
        <rFont val="Aptos Narrow"/>
        <family val="2"/>
      </rPr>
      <t>2</t>
    </r>
    <r>
      <rPr>
        <sz val="10"/>
        <color theme="1"/>
        <rFont val="Aptos Narrow"/>
        <family val="2"/>
      </rPr>
      <t xml:space="preserve"> heide müüdud soojuse kohta 2023</t>
    </r>
  </si>
  <si>
    <r>
      <t>AS Gren 2025. CO</t>
    </r>
    <r>
      <rPr>
        <vertAlign val="subscript"/>
        <sz val="10"/>
        <color theme="1"/>
        <rFont val="Aptos Narrow"/>
        <family val="2"/>
      </rPr>
      <t>2</t>
    </r>
    <r>
      <rPr>
        <sz val="10"/>
        <color theme="1"/>
        <rFont val="Aptos Narrow"/>
        <family val="2"/>
      </rPr>
      <t xml:space="preserve"> heide müüdud soojuse kohta 2024</t>
    </r>
  </si>
  <si>
    <t>Sisestage ise vastava aasta kaugkütte eriheitetegur, mis avaldatakse AS Gren kodulehel https://gren.com/ee/soojuse-tootmise-naitajad/</t>
  </si>
  <si>
    <t>Kaugkütte võrgupiirkond - Pärnu</t>
  </si>
  <si>
    <t>Pärnu</t>
  </si>
  <si>
    <t>Oma keskküttekatla (lokaalkütte) kütuseliik</t>
  </si>
  <si>
    <t>Biomass/puit</t>
  </si>
  <si>
    <t>KHG inventuuri aruanne 2024, arvestuslik katla kasutegur 90%</t>
  </si>
  <si>
    <t>KHG inventuuri aruanne 2025</t>
  </si>
  <si>
    <t>KHG inventuuri aruanne 2026</t>
  </si>
  <si>
    <t>KHG inventuuri aruanne 2027</t>
  </si>
  <si>
    <t>KHG inventuuri aruanne 2028</t>
  </si>
  <si>
    <t>KHG inventuuri aruanne 2029</t>
  </si>
  <si>
    <t>KHG inventuuri aruanne 2030</t>
  </si>
  <si>
    <t>Freesturvas</t>
  </si>
  <si>
    <t>Kerge kütteõli</t>
  </si>
  <si>
    <t>Maagaas</t>
  </si>
  <si>
    <t>Põlevkiviõli raske fraktsioon</t>
  </si>
  <si>
    <t xml:space="preserve">Veeldatud naftagaas (LPG) </t>
  </si>
  <si>
    <t>M1 - Sõidukikütused, M2 - Elekter</t>
  </si>
  <si>
    <t>Kütuseliik/elekter</t>
  </si>
  <si>
    <t>Bensiin, kaubik (l)</t>
  </si>
  <si>
    <r>
      <t>kg CO</t>
    </r>
    <r>
      <rPr>
        <vertAlign val="subscript"/>
        <sz val="10"/>
        <color theme="1"/>
        <rFont val="Aptos Narrow"/>
        <family val="2"/>
      </rPr>
      <t>2</t>
    </r>
    <r>
      <rPr>
        <sz val="10"/>
        <color theme="1"/>
        <rFont val="Aptos Narrow"/>
        <family val="2"/>
      </rPr>
      <t xml:space="preserve"> ekv/l</t>
    </r>
  </si>
  <si>
    <t>KHG inventuuri aruanne 2024, kütteväärtus ~31,82 MJ/l</t>
  </si>
  <si>
    <t>Bensiin, sõiduauto (l)</t>
  </si>
  <si>
    <t>Bio-CNG, sõiduauto (kg)</t>
  </si>
  <si>
    <r>
      <t>kg CO</t>
    </r>
    <r>
      <rPr>
        <vertAlign val="subscript"/>
        <sz val="10"/>
        <color theme="1"/>
        <rFont val="Aptos Narrow"/>
        <family val="2"/>
      </rPr>
      <t>2</t>
    </r>
    <r>
      <rPr>
        <sz val="10"/>
        <color theme="1"/>
        <rFont val="Aptos Narrow"/>
        <family val="2"/>
      </rPr>
      <t xml:space="preserve"> ekv/kg</t>
    </r>
  </si>
  <si>
    <t>KHG inventuuri aruanne 2024, kütteväärtus 49 MJ/kg</t>
  </si>
  <si>
    <t>Diisel, buss (l)</t>
  </si>
  <si>
    <t>KHG inventuuri aruanne 2024, kütteväärtus ~35,69 MJ/l</t>
  </si>
  <si>
    <t>Diisel, kaubik (l)</t>
  </si>
  <si>
    <t>Diisel, sõiduauto (l)</t>
  </si>
  <si>
    <t>Maagaas (CNG), sõiduauto (kg)</t>
  </si>
  <si>
    <t>Sõiduvahend (taastuvelekter)</t>
  </si>
  <si>
    <r>
      <t>kg CO</t>
    </r>
    <r>
      <rPr>
        <vertAlign val="subscript"/>
        <sz val="10"/>
        <color theme="1"/>
        <rFont val="Aptos Narrow"/>
        <family val="2"/>
      </rPr>
      <t>2</t>
    </r>
    <r>
      <rPr>
        <sz val="10"/>
        <color theme="1"/>
        <rFont val="Aptos Narrow"/>
        <family val="2"/>
      </rPr>
      <t xml:space="preserve"> ekv/kWh</t>
    </r>
  </si>
  <si>
    <t>CoM Default Emission Factors for the Member States of the European Union Dataset Version 2016</t>
  </si>
  <si>
    <t>Sõiduvahend (tavaelekter)</t>
  </si>
  <si>
    <t>Elering 2025. Elektrienergia segajäägi eriheide 2024</t>
  </si>
  <si>
    <t>Elering 2026. Elektrienergia segajäägi eriheide 2025</t>
  </si>
  <si>
    <t>Elering 2027. Elektrienergia segajäägi eriheide 2026</t>
  </si>
  <si>
    <t>Elering 2028. Elektrienergia segajäägi eriheide 2027</t>
  </si>
  <si>
    <t>Elering 2029. Elektrienergia segajäägi eriheide 2028</t>
  </si>
  <si>
    <t>Elering 2030. Elektrienergia segajäägi eriheide 2029</t>
  </si>
  <si>
    <t>M1 - Hajusheitmed</t>
  </si>
  <si>
    <t>F-gaas</t>
  </si>
  <si>
    <t xml:space="preserve">Globaalse </t>
  </si>
  <si>
    <t xml:space="preserve">soojenemise </t>
  </si>
  <si>
    <t>potentsiaal</t>
  </si>
  <si>
    <t>R-134a (HFC-134a)</t>
  </si>
  <si>
    <t>IPCC AR5 (GWP-100)</t>
  </si>
  <si>
    <t>R-404A</t>
  </si>
  <si>
    <t>R-407A</t>
  </si>
  <si>
    <t>R-407C</t>
  </si>
  <si>
    <t>R-407F</t>
  </si>
  <si>
    <t>R-410A</t>
  </si>
  <si>
    <t>R-417A</t>
  </si>
  <si>
    <t>R-422A</t>
  </si>
  <si>
    <t>R-422D</t>
  </si>
  <si>
    <t>R-427A</t>
  </si>
  <si>
    <t>R-507A</t>
  </si>
  <si>
    <t>https://klab.ee/f-gaasid/juhendid/jahutus-ja-kliimaseadmete-ning-soojuspumpade-kaitlejale/oluline-teada-paiksed-jahutusseadmed/#ftn2</t>
  </si>
  <si>
    <t>M3 - Pesupesemisteenus</t>
  </si>
  <si>
    <t>Väärtus</t>
  </si>
  <si>
    <t>Pesupesemisteenuse eriheitetegur</t>
  </si>
  <si>
    <r>
      <t>CO</t>
    </r>
    <r>
      <rPr>
        <vertAlign val="subscript"/>
        <sz val="10"/>
        <color theme="1"/>
        <rFont val="Aptos Narrow"/>
        <family val="2"/>
      </rPr>
      <t>2</t>
    </r>
    <r>
      <rPr>
        <sz val="10"/>
        <color theme="1"/>
        <rFont val="Aptos Narrow"/>
        <family val="2"/>
      </rPr>
      <t xml:space="preserve"> ekv/kg</t>
    </r>
  </si>
  <si>
    <t xml:space="preserve">Arvutatud teenusepakkujate energiakulu ja kasutatud kütuseliikide põhjal </t>
  </si>
  <si>
    <t>Pesu kogus hõivatud toa kohta</t>
  </si>
  <si>
    <t>HCMI v2.0 Tool, Laundry Today</t>
  </si>
  <si>
    <t>M3 - Tööreisid</t>
  </si>
  <si>
    <t>Sõidukiliik</t>
  </si>
  <si>
    <t>Sõiduauto, keskmise suurusega (bensiin)</t>
  </si>
  <si>
    <r>
      <t>kg CO</t>
    </r>
    <r>
      <rPr>
        <vertAlign val="subscript"/>
        <sz val="10"/>
        <color theme="1"/>
        <rFont val="Aptos Narrow"/>
        <family val="2"/>
      </rPr>
      <t>2</t>
    </r>
    <r>
      <rPr>
        <sz val="10"/>
        <color theme="1"/>
        <rFont val="Aptos Narrow"/>
        <family val="2"/>
      </rPr>
      <t xml:space="preserve"> ekv/km</t>
    </r>
  </si>
  <si>
    <t>KHG inventuuri aruanne 2024</t>
  </si>
  <si>
    <t>Sõiduauto, keskmise suurusega (diisel)</t>
  </si>
  <si>
    <t>Sõiduauto (bio-CNG)</t>
  </si>
  <si>
    <t>Eeldus: keskmise sõiduauto gaasitarbimine on 0,057 kg/km ning kasutades sõiduauto bio-CNG eriheitetegurit kg kohta</t>
  </si>
  <si>
    <t>Sõiduauto (maagaas CNG)</t>
  </si>
  <si>
    <t>Sõiduauto, keskmise suurusega (hübriid: bensiin/elekter - keskmine)</t>
  </si>
  <si>
    <t>Sõiduauto (taastuvelekter)</t>
  </si>
  <si>
    <t xml:space="preserve">CoM 2017 </t>
  </si>
  <si>
    <t>Sõiduauto (tavaelekter)</t>
  </si>
  <si>
    <t>Keskmine elektritarbimine: 0,2 kWh/km (Electric Vehicle Database), elektrienergia segajäägi eriheitetegur</t>
  </si>
  <si>
    <t>Takso, keskmine</t>
  </si>
  <si>
    <t>Bensiini- ja diiselmootoriga sõiduautode keskmine eriheitetegur, KHG inventuuri aruanne 2024</t>
  </si>
  <si>
    <t>Bensiini- ja diiselmootoriga sõiduautode keskmine eriheitetegur, KHG inventuuri aruanne 2025</t>
  </si>
  <si>
    <t>Bensiini- ja diiselmootoriga sõiduautode keskmine eriheitetegur, KHG inventuuri aruanne 2026</t>
  </si>
  <si>
    <t>Bensiini- ja diiselmootoriga sõiduautode keskmine eriheitetegur, KHG inventuuri aruanne 2027</t>
  </si>
  <si>
    <t>Bensiini- ja diiselmootoriga sõiduautode keskmine eriheitetegur, KHG inventuuri aruanne 2028</t>
  </si>
  <si>
    <t>Bensiini- ja diiselmootoriga sõiduautode keskmine eriheitetegur, KHG inventuuri aruanne 2029</t>
  </si>
  <si>
    <t>Bensiini- ja diiselmootoriga sõiduautode keskmine eriheitetegur, KHG inventuuri aruanne 2030</t>
  </si>
  <si>
    <t>Buss, kaugliin (Eesti ja rahvusvaheline)</t>
  </si>
  <si>
    <r>
      <t>kg CO</t>
    </r>
    <r>
      <rPr>
        <vertAlign val="subscript"/>
        <sz val="10"/>
        <rFont val="Aptos Narrow"/>
        <family val="2"/>
      </rPr>
      <t>2</t>
    </r>
    <r>
      <rPr>
        <sz val="10"/>
        <rFont val="Aptos Narrow"/>
        <family val="2"/>
      </rPr>
      <t xml:space="preserve"> ekv/sõitja-km</t>
    </r>
  </si>
  <si>
    <t>Statistikaameti andmed 2023, KHG inventuuri aruanne 2024 (diiselbussi eriheitetegur)</t>
  </si>
  <si>
    <t>Statistikaameti andmed 2024, KHG inventuuri aruanne 2025 (diiselbussi eriheitetegur)</t>
  </si>
  <si>
    <t>Statistikaameti andmed 2025, KHG inventuuri aruanne 2026 (diiselbussi eriheitetegur)</t>
  </si>
  <si>
    <t>Statistikaameti andmed 2026, KHG inventuuri aruanne 2027 (diiselbussi eriheitetegur)</t>
  </si>
  <si>
    <t>Statistikaameti andmed 2027, KHG inventuuri aruanne 2028 (diiselbussi eriheitetegur)</t>
  </si>
  <si>
    <t>Statistikaameti andmed 2028, KHG inventuuri aruanne 2029 (diiselbussi eriheitetegur)</t>
  </si>
  <si>
    <t>Statistikaameti andmed 2029, KHG inventuuri aruanne 2030 (diiselbussi eriheitetegur)</t>
  </si>
  <si>
    <t>Buss, linnaliin (Eesti)</t>
  </si>
  <si>
    <t>Statistikaameti andmed 2023, KHG inventuuri aruanne 2024 (diisel- ja CNG-busside eriheitetegurid)</t>
  </si>
  <si>
    <t>Statistikaameti andmed 2024, KHG inventuuri aruanne 2025 (diisel- ja CNG-busside eriheitetegurid)</t>
  </si>
  <si>
    <t>Statistikaameti andmed 2025, KHG inventuuri aruanne 2026 (diisel- ja CNG-busside eriheitetegurid)</t>
  </si>
  <si>
    <t>Statistikaameti andmed 2026, KHG inventuuri aruanne 2027 (diisel- ja CNG-busside eriheitetegurid)</t>
  </si>
  <si>
    <t>Statistikaameti andmed 2027, KHG inventuuri aruanne 2028 (diisel- ja CNG-busside eriheitetegurid)</t>
  </si>
  <si>
    <t>Statistikaameti andmed 2028, KHG inventuuri aruanne 2029 (diisel- ja CNG-busside eriheitetegurid)</t>
  </si>
  <si>
    <t>Statistikaameti andmed 2029, KHG inventuuri aruanne 2030 (diisel- ja CNG-busside eriheitetegurid)</t>
  </si>
  <si>
    <t>Buss, linnaliin (Tallinn)</t>
  </si>
  <si>
    <t>AS TLT Tallinna linnaliinibusside andmed 2023 (diisel- ja gaasibusside keskmine), KHG inventuuri aruanne 2024 (diisel-, CNG- ja bio-CNG-busside eriheitetegurid)</t>
  </si>
  <si>
    <t>AS TLT Tallinna linnaliinibusside andmed 2024 (diisel- ja gaasibusside keskmine), KHG inventuuri aruanne 2025 (diisel-, CNG- ja bio-CNG-busside eriheitetegurid)</t>
  </si>
  <si>
    <t>AS TLT Tallinna linnaliinibusside andmed 2025 (diisel- ja gaasibusside keskmine), KHG inventuuri aruanne 2026 (diisel-, CNG- ja bio-CNG-busside eriheitetegurid)</t>
  </si>
  <si>
    <t>AS TLT Tallinna linnaliinibusside andmed 2026 (diisel- ja gaasibusside keskmine), KHG inventuuri aruanne 2027 (diisel-, CNG- ja bio-CNG-busside eriheitetegurid)</t>
  </si>
  <si>
    <t>AS TLT Tallinna linnaliinibusside andmed 2027 (diisel- ja gaasibusside keskmine), KHG inventuuri aruanne 2028 (diisel-, CNG- ja bio-CNG-busside eriheitetegurid)</t>
  </si>
  <si>
    <t>AS TLT Tallinna linnaliinibusside andmed 2028 (diisel- ja gaasibusside keskmine), KHG inventuuri aruanne 2029 (diisel-, CNG- ja bio-CNG-busside eriheitetegurid)</t>
  </si>
  <si>
    <t>AS TLT Tallinna linnaliinibusside andmed 2029 (diisel- ja gaasibusside keskmine), KHG inventuuri aruanne 2030 (diisel-, CNG- ja bio-CNG-busside eriheitetegurid)</t>
  </si>
  <si>
    <t>Buss, maakonnaliin</t>
  </si>
  <si>
    <r>
      <t>kg CO</t>
    </r>
    <r>
      <rPr>
        <vertAlign val="subscript"/>
        <sz val="10"/>
        <color theme="1"/>
        <rFont val="Aptos Narrow"/>
        <family val="2"/>
      </rPr>
      <t>2</t>
    </r>
    <r>
      <rPr>
        <sz val="10"/>
        <color theme="1"/>
        <rFont val="Aptos Narrow"/>
        <family val="2"/>
      </rPr>
      <t xml:space="preserve"> ekv/sõitja-km</t>
    </r>
  </si>
  <si>
    <t>Rong, Eesti linnalähirong (elektrirong)</t>
  </si>
  <si>
    <t>Rong, Eesti-sisene kaugliin (diiselrong)</t>
  </si>
  <si>
    <t>AS Elroni andmed 2023, KHG inventuuri aruanne 2024 (rongidiisli eriheitetegur)</t>
  </si>
  <si>
    <t>AS Elroni andmed 2024, KHG inventuuri aruanne 2025 (rongidiisli eriheitetegur)</t>
  </si>
  <si>
    <t>AS Elroni andmed 2025, KHG inventuuri aruanne 2026 (rongidiisli eriheitetegur)</t>
  </si>
  <si>
    <t>AS Elroni andmed 2026, KHG inventuuri aruanne 2027 (rongidiisli eriheitetegur)</t>
  </si>
  <si>
    <t>AS Elroni andmed 2027, KHG inventuuri aruanne 2028 (rongidiisli eriheitetegur)</t>
  </si>
  <si>
    <t>AS Elroni andmed 2028, KHG inventuuri aruanne 2029 (rongidiisli eriheitetegur)</t>
  </si>
  <si>
    <t>AS Elroni andmed 2029, KHG inventuuri aruanne 2030 (rongidiisli eriheitetegur)</t>
  </si>
  <si>
    <t>Parvlaev, reisi-kaubalaev (nt Tallinn-Helsingi/Stockholm)</t>
  </si>
  <si>
    <t>UK Government GHG Conversion Factors for Company Reporting 2024, ferry, foot passenger</t>
  </si>
  <si>
    <t>UK Government GHG Conversion Factors for Company Reporting 2025, ferry, foot passenger</t>
  </si>
  <si>
    <t>UK Government GHG Conversion Factors for Company Reporting 2026, ferry, foot passenger</t>
  </si>
  <si>
    <t>UK Government GHG Conversion Factors for Company Reporting 2027, ferry, foot passenger</t>
  </si>
  <si>
    <t>UK Government GHG Conversion Factors for Company Reporting 2028, ferry, foot passenger</t>
  </si>
  <si>
    <t>UK Government GHG Conversion Factors for Company Reporting 2029, ferry, foot passenger</t>
  </si>
  <si>
    <t>UK Government GHG Conversion Factors for Company Reporting 2030, ferry, foot passenger</t>
  </si>
  <si>
    <t>Lennuk, Euroopa-sisene lend (kuni 3700 km), keskmine</t>
  </si>
  <si>
    <r>
      <t>kg CO</t>
    </r>
    <r>
      <rPr>
        <vertAlign val="subscript"/>
        <sz val="10"/>
        <rFont val="Aptos Narrow"/>
        <family val="2"/>
      </rPr>
      <t xml:space="preserve">2 </t>
    </r>
    <r>
      <rPr>
        <sz val="10"/>
        <rFont val="Aptos Narrow"/>
        <family val="2"/>
      </rPr>
      <t>ekv/sõitja-km</t>
    </r>
  </si>
  <si>
    <t>UK Government GHG Conversion Factors for Company Reporting 2024, short-haul, average passenger</t>
  </si>
  <si>
    <t>UK Government GHG Conversion Factors for Company Reporting 2025, short-haul, average passenger</t>
  </si>
  <si>
    <t>UK Government GHG Conversion Factors for Company Reporting 2026, short-haul, average passenger</t>
  </si>
  <si>
    <t>UK Government GHG Conversion Factors for Company Reporting 2027, short-haul, average passenger</t>
  </si>
  <si>
    <t>UK Government GHG Conversion Factors for Company Reporting 2028, short-haul, average passenger</t>
  </si>
  <si>
    <t>UK Government GHG Conversion Factors for Company Reporting 2029, short-haul, average passenger</t>
  </si>
  <si>
    <t>UK Government GHG Conversion Factors for Company Reporting 2030, short-haul, average passenger</t>
  </si>
  <si>
    <t>M3 - Sisseostetud transporditeenus</t>
  </si>
  <si>
    <t>Kaubik (bensiin), km</t>
  </si>
  <si>
    <t>Kaubik (bensiin), tonn-km</t>
  </si>
  <si>
    <r>
      <t>kg CO</t>
    </r>
    <r>
      <rPr>
        <vertAlign val="subscript"/>
        <sz val="10"/>
        <color theme="1"/>
        <rFont val="Aptos Narrow"/>
        <family val="2"/>
      </rPr>
      <t>2</t>
    </r>
    <r>
      <rPr>
        <sz val="10"/>
        <color theme="1"/>
        <rFont val="Aptos Narrow"/>
        <family val="2"/>
      </rPr>
      <t xml:space="preserve"> ekv/tonn-km</t>
    </r>
  </si>
  <si>
    <t>Arvestuslik keskmine koormakaal 1,2 t (LIPASTO arvutusvalem)</t>
  </si>
  <si>
    <t>Kaubik (diisel), km</t>
  </si>
  <si>
    <t>Kaubik (diisel), tonn-km</t>
  </si>
  <si>
    <t>Kaubik (taastuvelekter), km</t>
  </si>
  <si>
    <t>Kaubik (taastuvelekter), tonn-km</t>
  </si>
  <si>
    <t>Kaubik (tavaelekter), km</t>
  </si>
  <si>
    <t>Elektrikaubikute keskmine elektritarbimine 0,25 kWh/km (Volkswagen e-Crafter), elektrienergia segajäägi eriheitetegur</t>
  </si>
  <si>
    <r>
      <t>kg CO</t>
    </r>
    <r>
      <rPr>
        <vertAlign val="subscript"/>
        <sz val="10"/>
        <rFont val="Aptos Narrow"/>
        <family val="2"/>
      </rPr>
      <t>2</t>
    </r>
    <r>
      <rPr>
        <sz val="10"/>
        <rFont val="Aptos Narrow"/>
        <family val="2"/>
      </rPr>
      <t xml:space="preserve"> ekv/km</t>
    </r>
  </si>
  <si>
    <t>Kaubik (tavaelekter), tonn-km</t>
  </si>
  <si>
    <r>
      <t>kg CO</t>
    </r>
    <r>
      <rPr>
        <vertAlign val="subscript"/>
        <sz val="10"/>
        <rFont val="Aptos Narrow"/>
        <family val="2"/>
      </rPr>
      <t>2</t>
    </r>
    <r>
      <rPr>
        <sz val="10"/>
        <rFont val="Aptos Narrow"/>
        <family val="2"/>
      </rPr>
      <t xml:space="preserve"> ekv/tonn-km</t>
    </r>
  </si>
  <si>
    <t>Elektrikaubikute keskmise elektritarbimise alusel, arvestuslik keskmine koormakaal 1,2 t</t>
  </si>
  <si>
    <t>Buss</t>
  </si>
  <si>
    <t>Bussiteenuse pakkujad (keskmine kütusekulu l/km, maakondlik liin), KHG inventuuri aruanne 2024 (diiselbussi eriheitetegur)</t>
  </si>
  <si>
    <t>Bussiteenuse pakkujad (keskmine kütusekulu l/km, maakondlik liin), KHG inventuuri aruanne 2025 (diiselbussi eriheitetegur)</t>
  </si>
  <si>
    <t>Bussiteenuse pakkujad (keskmine kütusekulu l/km, maakondlik liin), KHG inventuuri aruanne 2026 (diiselbussi eriheitetegur)</t>
  </si>
  <si>
    <t>Bussiteenuse pakkujad (keskmine kütusekulu l/km, maakondlik liin), KHG inventuuri aruanne 2027 (diiselbussi eriheitetegur)</t>
  </si>
  <si>
    <t>Bussiteenuse pakkujad (keskmine kütusekulu l/km, maakondlik liin), KHG inventuuri aruanne 2028 (diiselbussi eriheitetegur)</t>
  </si>
  <si>
    <t>Bussiteenuse pakkujad (keskmine kütusekulu l/km, maakondlik liin), KHG inventuuri aruanne 2029 (diiselbussi eriheitetegur)</t>
  </si>
  <si>
    <t>Bussiteenuse pakkujad (keskmine kütusekulu l/km, maakondlik liin), KHG inventuuri aruanne 2030 (diiselbussi eriheitetegur)</t>
  </si>
  <si>
    <t>Väikebuss</t>
  </si>
  <si>
    <t>KHG inventuuri aruanne 2024, kaubiku bensiini ja diisli kaalutud keskmine eriheitetegur km kohta</t>
  </si>
  <si>
    <t>KHG inventuuri aruanne 2025, kaubiku bensiini ja diisli kaalutud keskmine eriheitetegur km kohta</t>
  </si>
  <si>
    <t>KHG inventuuri aruanne 2026, kaubiku bensiini ja diisli kaalutud keskmine eriheitetegur km kohta</t>
  </si>
  <si>
    <t>KHG inventuuri aruanne 2027, kaubiku bensiini ja diisli kaalutud keskmine eriheitetegur km kohta</t>
  </si>
  <si>
    <t>KHG inventuuri aruanne 2028, kaubiku bensiini ja diisli kaalutud keskmine eriheitetegur km kohta</t>
  </si>
  <si>
    <t>KHG inventuuri aruanne 2029, kaubiku bensiini ja diisli kaalutud keskmine eriheitetegur km kohta</t>
  </si>
  <si>
    <t>KHG inventuuri aruanne 2030, kaubiku bensiini ja diisli kaalutud keskmine eriheitetegur km kohta</t>
  </si>
  <si>
    <t>M3 - Vee- ja materjalikasutus</t>
  </si>
  <si>
    <t>Vesi ja paber</t>
  </si>
  <si>
    <t>Vesi (joogivee ja reovee puhastus)</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</si>
  <si>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3</t>
    </r>
  </si>
  <si>
    <t>AS Tallinna Vesi 2024. Vee- ja reoveepuhastuse süsiniku jalajälg 2023</t>
  </si>
  <si>
    <t>AS Tallinna Vesi 2025. Vee- ja reoveepuhastuse süsiniku jalajälg 2024</t>
  </si>
  <si>
    <t>AS Tallinna Vesi 2026. Vee- ja reoveepuhastuse süsiniku jalajälg 2025</t>
  </si>
  <si>
    <t>AS Tallinna Vesi 2027. Vee- ja reoveepuhastuse süsiniku jalajälg 2026</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</si>
  <si>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4</t>
    </r>
    <r>
      <rPr>
        <sz val="11"/>
        <color theme="1"/>
        <rFont val="Calibri"/>
        <family val="2"/>
        <charset val="186"/>
        <scheme val="minor"/>
      </rPr>
      <t/>
    </r>
  </si>
  <si>
    <t>AS Tallinna Vesi 2028. Vee- ja reoveepuhastuse süsiniku jalajälg 2027</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</si>
  <si>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5</t>
    </r>
    <r>
      <rPr>
        <sz val="11"/>
        <color theme="1"/>
        <rFont val="Calibri"/>
        <family val="2"/>
        <charset val="186"/>
        <scheme val="minor"/>
      </rPr>
      <t/>
    </r>
  </si>
  <si>
    <t>AS Tallinna Vesi 2029. Vee- ja reoveepuhastuse süsiniku jalajälg 2028</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</si>
  <si>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6</t>
    </r>
    <r>
      <rPr>
        <sz val="11"/>
        <color theme="1"/>
        <rFont val="Calibri"/>
        <family val="2"/>
        <charset val="186"/>
        <scheme val="minor"/>
      </rPr>
      <t/>
    </r>
  </si>
  <si>
    <t>AS Tallinna Vesi 2030. Vee- ja reoveepuhastuse süsiniku jalajälg 2029</t>
  </si>
  <si>
    <t>Kontoripaber</t>
  </si>
  <si>
    <t>UK Government GHG Conversion Factors for Company Reporting 2024, paper and board: paper, closed-loop source</t>
  </si>
  <si>
    <t>UK Government GHG Conversion Factors for Company Reporting 2025, paper and board: paper, closed-loop source</t>
  </si>
  <si>
    <t>UK Government GHG Conversion Factors for Company Reporting 2026, paper and board: paper, closed-loop source</t>
  </si>
  <si>
    <t>UK Government GHG Conversion Factors for Company Reporting 2027, paper and board: paper, closed-loop source</t>
  </si>
  <si>
    <t>UK Government GHG Conversion Factors for Company Reporting 2028, paper and board: paper, closed-loop source</t>
  </si>
  <si>
    <t>UK Government GHG Conversion Factors for Company Reporting 2029, paper and board: paper, closed-loop source</t>
  </si>
  <si>
    <t>UK Government GHG Conversion Factors for Company Reporting 2030, paper and board: paper, closed-loop source</t>
  </si>
  <si>
    <t>Lehträtik</t>
  </si>
  <si>
    <r>
      <t>kg CO</t>
    </r>
    <r>
      <rPr>
        <vertAlign val="subscript"/>
        <sz val="10"/>
        <color theme="1"/>
        <rFont val="Aptos Narrow"/>
        <family val="2"/>
      </rPr>
      <t>2</t>
    </r>
    <r>
      <rPr>
        <sz val="10"/>
        <color theme="1"/>
        <rFont val="Aptos Narrow"/>
        <family val="2"/>
      </rPr>
      <t xml:space="preserve"> ekv/tk</t>
    </r>
  </si>
  <si>
    <t>Toodete 344471 Katrin Classic Hand Towel (https://www.katrinsolutions.com/baltic/consumption_calculator) ja H2 Tork Xpress® Multifold (https://www.tork.com.ee/product/471103/taide/paberratik) keskmine eriheitetegur</t>
  </si>
  <si>
    <t>Salvrätik</t>
  </si>
  <si>
    <t>Toodete Tork N4 Xpressnap® (https://www.tork.com.ee/product/13840/taide/lausalvratik) ja Tork Xpressnap Fit® (https://www.tork.com.ee/product/12830/taide/lausalvratik) keskmine eriheitetegur</t>
  </si>
  <si>
    <t>Tualettpaber</t>
  </si>
  <si>
    <r>
      <t>kg CO</t>
    </r>
    <r>
      <rPr>
        <vertAlign val="subscript"/>
        <sz val="10"/>
        <color theme="1"/>
        <rFont val="Aptos Narrow"/>
        <family val="2"/>
      </rPr>
      <t>2</t>
    </r>
    <r>
      <rPr>
        <sz val="10"/>
        <color theme="1"/>
        <rFont val="Aptos Narrow"/>
        <family val="2"/>
      </rPr>
      <t xml:space="preserve"> ekv/m</t>
    </r>
  </si>
  <si>
    <t>Toodete 106252 Katrin Classic Gigant Toilet M2 (https://www.katrinsolutions.com/baltic/consumption_calculator) ja Tork T8/T9 SmartOne® (https://www.tork.com.ee/product/472193/taide/tualettpaber) keskmine eriheitetegur</t>
  </si>
  <si>
    <t>M3 - Jäätmed</t>
  </si>
  <si>
    <t>Jäätmeliik</t>
  </si>
  <si>
    <t>Liigiti kogutud biojäätmed</t>
  </si>
  <si>
    <r>
      <t>kg CO</t>
    </r>
    <r>
      <rPr>
        <vertAlign val="subscript"/>
        <sz val="10"/>
        <color theme="1"/>
        <rFont val="Aptos Narrow"/>
        <family val="2"/>
      </rPr>
      <t>2</t>
    </r>
    <r>
      <rPr>
        <sz val="10"/>
        <color theme="1"/>
        <rFont val="Aptos Narrow"/>
        <family val="2"/>
      </rPr>
      <t xml:space="preserve"> ekv/t</t>
    </r>
  </si>
  <si>
    <t>Eeldused: jäätmeveoki kütusekulu 0,39 l/km, kogumisringi pikkus keskmiselt 250 km, keskmine koorma kaal 9 t, raskeveoki (diisel) eriheitetegur - KHG inventuuri aruanne 2023</t>
  </si>
  <si>
    <t>Liigiti kogutud klaaspakend</t>
  </si>
  <si>
    <t>Liigiti kogutud paber ja kartong</t>
  </si>
  <si>
    <t>Liigiti kogutud segapakend</t>
  </si>
  <si>
    <t>Segaolmejäätmed, prügilasse ladestamine</t>
  </si>
  <si>
    <t xml:space="preserve">Arvutatud olelusringi hindamise mudeliga WAMPS (sisaldab nii segaolmejäätmete kogumise kui ladestamisega seotud KHG heiteid) </t>
  </si>
  <si>
    <t>Segaolmejäätmed, põletamine</t>
  </si>
  <si>
    <t>TalTech, SEI Tallinn 2019, raskeveoki (diisel) eriheitetegur - KHG inventuuri aruanne 2023</t>
  </si>
  <si>
    <t>Paberi kaal</t>
  </si>
  <si>
    <t>A0</t>
  </si>
  <si>
    <t>A4 (80 g/m²)</t>
  </si>
  <si>
    <t>Lehträtik (1 tk)</t>
  </si>
  <si>
    <t>Salvrätik (1 tk)</t>
  </si>
  <si>
    <t>Tualettpaber (1 m)</t>
  </si>
  <si>
    <t>Kaugkütte võrgupiirkonna rippmenüü:</t>
  </si>
  <si>
    <t>Muu</t>
  </si>
  <si>
    <t>Oma keskküttekatla kütuseliigi rippmenüü:</t>
  </si>
  <si>
    <t>Kütteõli</t>
  </si>
  <si>
    <t>Põlevkiviõli</t>
  </si>
  <si>
    <t>Jah</t>
  </si>
  <si>
    <t>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</si>
</sst>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
    <numFmt numFmtId="167" formatCode="#,##0.0"/>
    <numFmt numFmtId="168" formatCode="0.0%"/>
    <numFmt numFmtId="169" formatCode="0.000000"/>
  </numFmts>
  <fonts count="62">
    <font>
      <sz val="11"/>
      <color theme="1"/>
      <name val="Calibri"/>
      <family val="2"/>
      <scheme val="minor"/>
    </font>
    <font>
      <sz val="11"/>
      <color theme="1"/>
      <name val="Calibri"/>
      <family val="2"/>
      <charset val="186"/>
      <scheme val="minor"/>
    </font>
    <font>
      <sz val="11"/>
      <color theme="1"/>
      <name val="Calibri"/>
      <family val="2"/>
      <charset val="186"/>
      <scheme val="minor"/>
    </font>
    <font>
      <sz val="9"/>
      <color indexed="81"/>
      <name val="Tahoma"/>
      <family val="2"/>
      <charset val="186"/>
    </font>
    <font>
      <u/>
      <sz val="11"/>
      <color theme="10"/>
      <name val="Calibri"/>
      <family val="2"/>
      <scheme val="minor"/>
    </font>
    <font>
      <sz val="11"/>
      <name val="Calibri"/>
      <family val="2"/>
      <scheme val="minor"/>
    </font>
    <font>
      <sz val="11"/>
      <color rgb="FF000000"/>
      <name val="Calibri"/>
      <family val="2"/>
    </font>
    <font>
      <sz val="8"/>
      <name val="Calibri"/>
      <family val="2"/>
      <scheme val="minor"/>
    </font>
    <font>
      <sz val="11"/>
      <color theme="1"/>
      <name val="Calibri"/>
      <family val="2"/>
      <scheme val="minor"/>
    </font>
    <font>
      <b/>
      <sz val="13"/>
      <color theme="3"/>
      <name val="Calibri"/>
      <family val="2"/>
      <charset val="186"/>
      <scheme val="minor"/>
    </font>
    <font>
      <sz val="10"/>
      <name val="Aptos Narrow"/>
      <family val="2"/>
    </font>
    <font>
      <sz val="10"/>
      <color theme="1"/>
      <name val="Aptos Narrow"/>
      <family val="2"/>
    </font>
    <font>
      <sz val="11"/>
      <color theme="1"/>
      <name val="Aptos Narrow"/>
      <family val="2"/>
    </font>
    <font>
      <b/>
      <sz val="11"/>
      <color theme="1"/>
      <name val="Aptos Narrow"/>
      <family val="2"/>
    </font>
    <font>
      <b/>
      <sz val="14"/>
      <color theme="1"/>
      <name val="Aptos Narrow"/>
      <family val="2"/>
    </font>
    <font>
      <b/>
      <sz val="18"/>
      <color theme="1"/>
      <name val="Aptos Narrow"/>
      <family val="2"/>
    </font>
    <font>
      <b/>
      <sz val="11"/>
      <color theme="0"/>
      <name val="Aptos Narrow"/>
      <family val="2"/>
    </font>
    <font>
      <i/>
      <sz val="11"/>
      <color theme="1"/>
      <name val="Aptos Narrow"/>
      <family val="2"/>
    </font>
    <font>
      <sz val="11"/>
      <name val="Aptos Narrow"/>
      <family val="2"/>
    </font>
    <font>
      <sz val="11"/>
      <color rgb="FFFF0000"/>
      <name val="Aptos Narrow"/>
      <family val="2"/>
    </font>
    <font>
      <i/>
      <sz val="11"/>
      <name val="Aptos Narrow"/>
      <family val="2"/>
    </font>
    <font>
      <b/>
      <sz val="10"/>
      <color theme="0"/>
      <name val="Aptos Narrow"/>
      <family val="2"/>
    </font>
    <font>
      <b/>
      <sz val="10"/>
      <color theme="1"/>
      <name val="Aptos Narrow"/>
      <family val="2"/>
    </font>
    <font>
      <vertAlign val="subscript"/>
      <sz val="10"/>
      <color theme="1"/>
      <name val="Aptos Narrow"/>
      <family val="2"/>
    </font>
    <font>
      <sz val="12"/>
      <color theme="1"/>
      <name val="Aptos Narrow"/>
      <family val="2"/>
    </font>
    <font>
      <u/>
      <sz val="10"/>
      <color theme="10"/>
      <name val="Aptos Narrow"/>
      <family val="2"/>
    </font>
    <font>
      <vertAlign val="superscript"/>
      <sz val="10"/>
      <color theme="1"/>
      <name val="Aptos Narrow"/>
      <family val="2"/>
    </font>
    <font>
      <i/>
      <sz val="10"/>
      <color theme="1"/>
      <name val="Aptos Narrow"/>
      <family val="2"/>
    </font>
    <font>
      <b/>
      <sz val="12"/>
      <name val="Aptos Narrow"/>
      <family val="2"/>
    </font>
    <font>
      <b/>
      <sz val="12"/>
      <color rgb="FFFF0000"/>
      <name val="Aptos Narrow"/>
      <family val="2"/>
    </font>
    <font>
      <b/>
      <sz val="12"/>
      <color theme="1"/>
      <name val="Aptos Narrow"/>
      <family val="2"/>
    </font>
    <font>
      <b/>
      <sz val="10"/>
      <name val="Aptos Narrow"/>
      <family val="2"/>
    </font>
    <font>
      <b/>
      <sz val="14"/>
      <name val="Aptos Narrow"/>
      <family val="2"/>
    </font>
    <font>
      <b/>
      <sz val="16"/>
      <name val="Aptos Narrow"/>
      <family val="2"/>
    </font>
    <font>
      <b/>
      <i/>
      <sz val="10"/>
      <color theme="1"/>
      <name val="Aptos Narrow"/>
      <family val="2"/>
    </font>
    <font>
      <i/>
      <sz val="10"/>
      <name val="Aptos Narrow"/>
      <family val="2"/>
    </font>
    <font>
      <b/>
      <vertAlign val="subscript"/>
      <sz val="10"/>
      <name val="Aptos Narrow"/>
      <family val="2"/>
    </font>
    <font>
      <sz val="10"/>
      <color rgb="FF000000"/>
      <name val="Aptos Narrow"/>
      <family val="2"/>
    </font>
    <font>
      <b/>
      <sz val="16"/>
      <color rgb="FFFF0000"/>
      <name val="Aptos Narrow"/>
      <family val="2"/>
    </font>
    <font>
      <sz val="10"/>
      <color rgb="FFFF0000"/>
      <name val="Aptos Narrow"/>
      <family val="2"/>
    </font>
    <font>
      <b/>
      <vertAlign val="subscript"/>
      <sz val="10"/>
      <color theme="1"/>
      <name val="Aptos Narrow"/>
      <family val="2"/>
    </font>
    <font>
      <b/>
      <sz val="11"/>
      <name val="Aptos Narrow"/>
      <family val="2"/>
    </font>
    <font>
      <b/>
      <sz val="14"/>
      <color rgb="FF00B050"/>
      <name val="Aptos Narrow"/>
      <family val="2"/>
    </font>
    <font>
      <i/>
      <vertAlign val="superscript"/>
      <sz val="11"/>
      <color theme="1"/>
      <name val="Aptos Narrow"/>
      <family val="2"/>
    </font>
    <font>
      <i/>
      <sz val="11"/>
      <color rgb="FFFF0000"/>
      <name val="Aptos Narrow"/>
      <family val="2"/>
    </font>
    <font>
      <i/>
      <vertAlign val="superscript"/>
      <sz val="10"/>
      <name val="Aptos Narrow"/>
      <family val="2"/>
    </font>
    <font>
      <vertAlign val="superscript"/>
      <sz val="10"/>
      <name val="Aptos Narrow"/>
      <family val="2"/>
    </font>
    <font>
      <i/>
      <sz val="14"/>
      <name val="Aptos Narrow"/>
      <family val="2"/>
    </font>
    <font>
      <i/>
      <sz val="12"/>
      <name val="Aptos Narrow"/>
      <family val="2"/>
    </font>
    <font>
      <i/>
      <sz val="12"/>
      <color theme="1"/>
      <name val="Aptos Narrow"/>
      <family val="2"/>
    </font>
    <font>
      <b/>
      <vertAlign val="superscript"/>
      <sz val="10"/>
      <name val="Aptos Narrow"/>
      <family val="2"/>
    </font>
    <font>
      <vertAlign val="subscript"/>
      <sz val="10"/>
      <name val="Aptos Narrow"/>
      <family val="2"/>
    </font>
    <font>
      <b/>
      <i/>
      <sz val="11"/>
      <name val="Aptos Narrow"/>
      <family val="2"/>
    </font>
    <font>
      <i/>
      <vertAlign val="subscript"/>
      <sz val="11"/>
      <color theme="1"/>
      <name val="Aptos Narrow"/>
      <family val="2"/>
    </font>
    <font>
      <i/>
      <vertAlign val="superscript"/>
      <sz val="11"/>
      <name val="Aptos Narrow"/>
      <family val="2"/>
    </font>
    <font>
      <i/>
      <vertAlign val="subscript"/>
      <sz val="11"/>
      <name val="Aptos Narrow"/>
      <family val="2"/>
    </font>
    <font>
      <vertAlign val="subscript"/>
      <sz val="11"/>
      <color theme="1"/>
      <name val="Aptos Narrow"/>
      <family val="2"/>
    </font>
    <font>
      <b/>
      <sz val="8"/>
      <name val="Tahoma"/>
      <family val="2"/>
    </font>
    <font>
      <b/>
      <sz val="14"/>
      <color rgb="FF00B050"/>
      <name val="Calibri"/>
      <family val="2"/>
      <charset val="186"/>
      <scheme val="minor"/>
    </font>
    <font>
      <i/>
      <sz val="11"/>
      <name val="Calibri"/>
      <family val="2"/>
      <scheme val="minor"/>
    </font>
    <font>
      <i/>
      <sz val="11"/>
      <name val="Calibri"/>
      <family val="2"/>
    </font>
    <font>
      <i/>
      <sz val="11"/>
      <color theme="1"/>
      <name val="Calibri"/>
      <family val="2"/>
      <scheme val="minor"/>
    </font>
  </fonts>
  <fills count="16">
    <fill>
      <patternFill patternType="none"/>
    </fill>
    <fill>
      <patternFill patternType="gray125"/>
    </fill>
    <fill>
      <patternFill patternType="solid">
        <fgColor rgb="FFFFFFFF"/>
      </patternFill>
    </fill>
    <fill>
      <patternFill patternType="solid">
        <fgColor rgb="FFF0F5FF"/>
      </patternFill>
    </fill>
    <fill>
      <patternFill patternType="solid">
        <fgColor rgb="FFD8E4BC"/>
        <bgColor indexed="64"/>
      </patternFill>
    </fill>
    <fill>
      <patternFill patternType="solid">
        <fgColor rgb="FF79943C"/>
        <bgColor indexed="64"/>
      </patternFill>
    </fill>
    <fill>
      <patternFill patternType="solid">
        <fgColor theme="4" tint="0.79998168889431442"/>
        <bgColor rgb="FF000000"/>
      </patternFill>
    </fill>
    <fill>
      <patternFill patternType="solid">
        <fgColor rgb="FFD9E3C6"/>
        <bgColor indexed="64"/>
      </patternFill>
    </fill>
    <fill>
      <patternFill patternType="solid">
        <fgColor rgb="FFE1D4EB"/>
        <bgColor indexed="64"/>
      </patternFill>
    </fill>
    <fill>
      <patternFill patternType="solid">
        <fgColor rgb="FFFFCCCC"/>
        <bgColor indexed="64"/>
      </patternFill>
    </fill>
    <fill>
      <patternFill patternType="solid">
        <fgColor rgb="FF0062F5"/>
        <bgColor indexed="64"/>
      </patternFill>
    </fill>
    <fill>
      <patternFill patternType="solid">
        <fgColor rgb="FFACD2A4"/>
        <bgColor indexed="64"/>
      </patternFill>
    </fill>
    <fill>
      <patternFill patternType="solid">
        <fgColor rgb="FFC6E3D0"/>
        <bgColor indexed="64"/>
      </patternFill>
    </fill>
    <fill>
      <patternFill patternType="solid">
        <fgColor rgb="FFABC182"/>
        <bgColor indexed="64"/>
      </patternFill>
    </fill>
    <fill>
      <patternFill patternType="solid">
        <fgColor rgb="FFDEEBD4"/>
        <bgColor indexed="64"/>
      </patternFill>
    </fill>
    <fill>
      <patternFill patternType="gray0625">
        <bgColor rgb="FFE6E6E6"/>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rgb="FFDADCDD"/>
      </left>
      <right style="thin">
        <color rgb="FFDADCDD"/>
      </right>
      <top style="thin">
        <color rgb="FFDADCDD"/>
      </top>
      <bottom style="thin">
        <color rgb="FFDADCDD"/>
      </bottom>
      <diagonal/>
    </border>
    <border>
      <left style="medium">
        <color indexed="64"/>
      </left>
      <right/>
      <top style="medium">
        <color rgb="FF000000"/>
      </top>
      <bottom/>
      <diagonal/>
    </border>
    <border>
      <left style="thin">
        <color rgb="FFB2B2B2"/>
      </left>
      <right style="thin">
        <color rgb="FFB2B2B2"/>
      </right>
      <top style="thin">
        <color rgb="FFB2B2B2"/>
      </top>
      <bottom style="thin">
        <color rgb="FFB2B2B2"/>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right style="thick">
        <color theme="0" tint="-0.34998626667073579"/>
      </right>
      <top/>
      <bottom/>
      <diagonal/>
    </border>
    <border>
      <left style="thin">
        <color rgb="FF548235"/>
      </left>
      <right/>
      <top/>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diagonal/>
    </border>
    <border>
      <left style="thin">
        <color auto="1"/>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medium">
        <color indexed="64"/>
      </right>
      <top/>
      <bottom/>
      <diagonal/>
    </border>
    <border>
      <left/>
      <right/>
      <top style="medium">
        <color indexed="64"/>
      </top>
      <bottom/>
      <diagonal/>
    </border>
  </borders>
  <cellStyleXfs count="9">
    <xf numFmtId="0" fontId="0" fillId="0" borderId="0"/>
    <xf numFmtId="0" fontId="4" fillId="0" borderId="0" applyNumberFormat="0" applyFill="0" applyBorder="0" applyAlignment="0" applyProtection="0"/>
    <xf numFmtId="0" fontId="6" fillId="2" borderId="53"/>
    <xf numFmtId="0" fontId="6" fillId="3" borderId="53"/>
    <xf numFmtId="0" fontId="5" fillId="6" borderId="55" applyNumberFormat="0" applyProtection="0">
      <alignment vertical="center"/>
    </xf>
    <xf numFmtId="9" fontId="8" fillId="0" borderId="0" applyFont="0" applyFill="0" applyBorder="0" applyAlignment="0" applyProtection="0"/>
    <xf numFmtId="0" fontId="9" fillId="0" borderId="0">
      <alignment vertical="center"/>
    </xf>
    <xf numFmtId="0" fontId="8" fillId="0" borderId="0"/>
    <xf numFmtId="0" fontId="2" fillId="0" borderId="0"/>
  </cellStyleXfs>
  <cellXfs count="700">
    <xf numFmtId="0" fontId="0" fillId="0" borderId="0" xfId="0"/>
    <xf numFmtId="0" fontId="12" fillId="0" borderId="0" xfId="0" applyFont="1"/>
    <xf numFmtId="0" fontId="13" fillId="0" borderId="0" xfId="0" applyFont="1"/>
    <xf numFmtId="0" fontId="14" fillId="0" borderId="0" xfId="0" applyFont="1"/>
    <xf numFmtId="0" fontId="12" fillId="0" borderId="0" xfId="0" applyFont="1" applyAlignment="1">
      <alignment horizontal="center"/>
    </xf>
    <xf numFmtId="0" fontId="12" fillId="0" borderId="0" xfId="0" applyFont="1" applyAlignment="1">
      <alignment vertical="center"/>
    </xf>
    <xf numFmtId="0" fontId="17" fillId="0" borderId="0" xfId="0" applyFont="1"/>
    <xf numFmtId="0" fontId="11" fillId="0" borderId="0" xfId="0" applyFont="1" applyAlignment="1">
      <alignment horizontal="center"/>
    </xf>
    <xf numFmtId="0" fontId="21" fillId="5" borderId="3" xfId="0" applyFont="1" applyFill="1" applyBorder="1"/>
    <xf numFmtId="0" fontId="21" fillId="5" borderId="7" xfId="0" applyFont="1" applyFill="1" applyBorder="1"/>
    <xf numFmtId="0" fontId="11" fillId="0" borderId="0" xfId="0" applyFont="1"/>
    <xf numFmtId="0" fontId="22" fillId="4" borderId="3" xfId="0" applyFont="1" applyFill="1" applyBorder="1"/>
    <xf numFmtId="0" fontId="22" fillId="4" borderId="1" xfId="0" applyFont="1" applyFill="1" applyBorder="1" applyAlignment="1">
      <alignment horizontal="center"/>
    </xf>
    <xf numFmtId="0" fontId="22" fillId="4" borderId="6" xfId="0" applyFont="1" applyFill="1" applyBorder="1" applyAlignment="1">
      <alignment vertical="center"/>
    </xf>
    <xf numFmtId="0" fontId="11" fillId="0" borderId="1" xfId="0" applyFont="1" applyBorder="1" applyAlignment="1">
      <alignment horizontal="left"/>
    </xf>
    <xf numFmtId="0" fontId="11" fillId="0" borderId="7" xfId="0" applyFont="1" applyBorder="1" applyAlignment="1">
      <alignment horizontal="left"/>
    </xf>
    <xf numFmtId="165" fontId="11" fillId="0" borderId="1" xfId="0" applyNumberFormat="1" applyFont="1" applyBorder="1" applyAlignment="1">
      <alignment horizontal="center"/>
    </xf>
    <xf numFmtId="0" fontId="10" fillId="0" borderId="1" xfId="0" applyFont="1" applyBorder="1"/>
    <xf numFmtId="0" fontId="11" fillId="0" borderId="1" xfId="0" applyFont="1" applyBorder="1" applyAlignment="1">
      <alignment horizontal="center"/>
    </xf>
    <xf numFmtId="0" fontId="24" fillId="0" borderId="0" xfId="0" applyFont="1"/>
    <xf numFmtId="165" fontId="10" fillId="0" borderId="0" xfId="0" applyNumberFormat="1" applyFont="1" applyAlignment="1">
      <alignment horizontal="center"/>
    </xf>
    <xf numFmtId="0" fontId="11" fillId="0" borderId="0" xfId="0" applyFont="1" applyAlignment="1">
      <alignment horizontal="left"/>
    </xf>
    <xf numFmtId="0" fontId="10" fillId="0" borderId="0" xfId="0" applyFont="1"/>
    <xf numFmtId="0" fontId="11" fillId="0" borderId="1" xfId="0" applyFont="1" applyBorder="1"/>
    <xf numFmtId="0" fontId="11" fillId="0" borderId="61" xfId="0" applyFont="1" applyBorder="1" applyAlignment="1">
      <alignment horizontal="left"/>
    </xf>
    <xf numFmtId="0" fontId="11" fillId="0" borderId="3" xfId="0" applyFont="1" applyBorder="1" applyAlignment="1">
      <alignment horizontal="left"/>
    </xf>
    <xf numFmtId="165" fontId="10" fillId="0" borderId="1" xfId="0" applyNumberFormat="1" applyFont="1" applyBorder="1" applyAlignment="1">
      <alignment horizontal="center"/>
    </xf>
    <xf numFmtId="0" fontId="22" fillId="4" borderId="6" xfId="0" applyFont="1" applyFill="1" applyBorder="1" applyAlignment="1">
      <alignment horizontal="center"/>
    </xf>
    <xf numFmtId="166" fontId="11" fillId="0" borderId="1" xfId="0" applyNumberFormat="1" applyFont="1" applyBorder="1" applyAlignment="1">
      <alignment horizontal="center"/>
    </xf>
    <xf numFmtId="0" fontId="22" fillId="4" borderId="1" xfId="0" applyFont="1" applyFill="1" applyBorder="1"/>
    <xf numFmtId="0" fontId="11" fillId="0" borderId="3" xfId="0" applyFont="1" applyBorder="1"/>
    <xf numFmtId="0" fontId="10" fillId="0" borderId="3" xfId="0" applyFont="1" applyBorder="1"/>
    <xf numFmtId="0" fontId="22" fillId="4" borderId="5" xfId="0" applyFont="1" applyFill="1" applyBorder="1" applyAlignment="1">
      <alignment horizontal="left" vertical="top"/>
    </xf>
    <xf numFmtId="0" fontId="22" fillId="4" borderId="36" xfId="0" applyFont="1" applyFill="1" applyBorder="1" applyAlignment="1">
      <alignment horizontal="left" vertical="top"/>
    </xf>
    <xf numFmtId="0" fontId="22" fillId="4" borderId="6" xfId="0" applyFont="1" applyFill="1" applyBorder="1" applyAlignment="1">
      <alignment horizontal="left" vertical="top" wrapText="1"/>
    </xf>
    <xf numFmtId="0" fontId="22" fillId="4" borderId="6" xfId="0" applyFont="1" applyFill="1" applyBorder="1" applyAlignment="1">
      <alignment horizontal="left" vertical="top"/>
    </xf>
    <xf numFmtId="0" fontId="22" fillId="4" borderId="61" xfId="0" applyFont="1" applyFill="1" applyBorder="1" applyAlignment="1">
      <alignment horizontal="left" vertical="top"/>
    </xf>
    <xf numFmtId="0" fontId="22" fillId="4" borderId="60" xfId="0" applyFont="1" applyFill="1" applyBorder="1" applyAlignment="1">
      <alignment horizontal="left" vertical="top"/>
    </xf>
    <xf numFmtId="0" fontId="22" fillId="4" borderId="59" xfId="0" applyFont="1" applyFill="1" applyBorder="1" applyAlignment="1">
      <alignment horizontal="left" vertical="top" wrapText="1"/>
    </xf>
    <xf numFmtId="0" fontId="22" fillId="4" borderId="59" xfId="0" applyFont="1" applyFill="1" applyBorder="1" applyAlignment="1">
      <alignment horizontal="left" vertical="top"/>
    </xf>
    <xf numFmtId="0" fontId="22" fillId="4" borderId="2" xfId="0" applyFont="1" applyFill="1" applyBorder="1" applyAlignment="1">
      <alignment horizontal="left" vertical="top"/>
    </xf>
    <xf numFmtId="0" fontId="22" fillId="4" borderId="32" xfId="0" applyFont="1" applyFill="1" applyBorder="1" applyAlignment="1">
      <alignment horizontal="left" vertical="top"/>
    </xf>
    <xf numFmtId="0" fontId="22" fillId="4" borderId="4" xfId="0" applyFont="1" applyFill="1" applyBorder="1" applyAlignment="1">
      <alignment horizontal="left" vertical="top" wrapText="1"/>
    </xf>
    <xf numFmtId="0" fontId="22" fillId="4" borderId="4" xfId="0" applyFont="1" applyFill="1" applyBorder="1" applyAlignment="1">
      <alignment horizontal="left" vertical="top"/>
    </xf>
    <xf numFmtId="0" fontId="11" fillId="0" borderId="7" xfId="0" applyFont="1" applyBorder="1"/>
    <xf numFmtId="3" fontId="10" fillId="0" borderId="1" xfId="0" applyNumberFormat="1" applyFont="1" applyBorder="1" applyAlignment="1">
      <alignment horizontal="center"/>
    </xf>
    <xf numFmtId="0" fontId="25" fillId="0" borderId="0" xfId="1" applyFont="1"/>
    <xf numFmtId="2" fontId="11" fillId="0" borderId="0" xfId="0" applyNumberFormat="1" applyFont="1" applyAlignment="1">
      <alignment horizontal="center"/>
    </xf>
    <xf numFmtId="165" fontId="11" fillId="0" borderId="0" xfId="0" applyNumberFormat="1" applyFont="1" applyAlignment="1">
      <alignment horizontal="center"/>
    </xf>
    <xf numFmtId="2" fontId="11" fillId="0" borderId="1" xfId="0" applyNumberFormat="1" applyFont="1" applyBorder="1" applyAlignment="1">
      <alignment horizontal="center"/>
    </xf>
    <xf numFmtId="0" fontId="21" fillId="5" borderId="36" xfId="0" applyFont="1" applyFill="1" applyBorder="1"/>
    <xf numFmtId="0" fontId="22" fillId="4" borderId="7" xfId="0" applyFont="1" applyFill="1" applyBorder="1"/>
    <xf numFmtId="0" fontId="22" fillId="4" borderId="7" xfId="0" applyFont="1" applyFill="1" applyBorder="1" applyAlignment="1">
      <alignment horizontal="center"/>
    </xf>
    <xf numFmtId="0" fontId="11" fillId="0" borderId="1" xfId="0" applyFont="1" applyBorder="1" applyAlignment="1">
      <alignment wrapText="1"/>
    </xf>
    <xf numFmtId="165" fontId="11" fillId="0" borderId="0" xfId="0" applyNumberFormat="1" applyFont="1"/>
    <xf numFmtId="165" fontId="11" fillId="0" borderId="7" xfId="0" applyNumberFormat="1" applyFont="1" applyBorder="1" applyAlignment="1">
      <alignment horizontal="center"/>
    </xf>
    <xf numFmtId="2" fontId="10" fillId="0" borderId="1" xfId="0" applyNumberFormat="1" applyFont="1" applyBorder="1" applyAlignment="1">
      <alignment horizontal="center"/>
    </xf>
    <xf numFmtId="2" fontId="11" fillId="0" borderId="7" xfId="0" applyNumberFormat="1" applyFont="1" applyBorder="1" applyAlignment="1">
      <alignment horizontal="center"/>
    </xf>
    <xf numFmtId="0" fontId="11" fillId="0" borderId="61" xfId="0" applyFont="1" applyBorder="1"/>
    <xf numFmtId="0" fontId="11" fillId="0" borderId="60" xfId="0" applyFont="1" applyBorder="1"/>
    <xf numFmtId="0" fontId="11" fillId="0" borderId="7" xfId="0" applyFont="1" applyBorder="1" applyAlignment="1">
      <alignment horizontal="center"/>
    </xf>
    <xf numFmtId="0" fontId="27"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9" fillId="0" borderId="0" xfId="0" applyFont="1"/>
    <xf numFmtId="0" fontId="17" fillId="0" borderId="0" xfId="0" applyFont="1" applyAlignment="1">
      <alignment horizontal="left" vertical="top" wrapText="1"/>
    </xf>
    <xf numFmtId="0" fontId="17" fillId="0" borderId="0" xfId="0" applyFont="1" applyAlignment="1">
      <alignment horizontal="center" vertical="center" wrapText="1"/>
    </xf>
    <xf numFmtId="0" fontId="28" fillId="0" borderId="0" xfId="0" applyFont="1"/>
    <xf numFmtId="0" fontId="12" fillId="0" borderId="0" xfId="0" applyFont="1" applyAlignment="1">
      <alignment horizontal="center" vertical="center" wrapText="1"/>
    </xf>
    <xf numFmtId="0" fontId="29" fillId="0" borderId="0" xfId="0" applyFont="1"/>
    <xf numFmtId="166" fontId="11" fillId="0" borderId="0" xfId="0" applyNumberFormat="1" applyFont="1" applyAlignment="1">
      <alignment horizontal="center" vertical="center"/>
    </xf>
    <xf numFmtId="0" fontId="29" fillId="0" borderId="61" xfId="0" applyFont="1" applyBorder="1"/>
    <xf numFmtId="0" fontId="10" fillId="0" borderId="11" xfId="0" applyFont="1" applyBorder="1" applyAlignment="1">
      <alignment horizontal="center" vertical="center"/>
    </xf>
    <xf numFmtId="0" fontId="22" fillId="0" borderId="28" xfId="0" applyFont="1" applyBorder="1" applyAlignment="1">
      <alignment horizontal="left"/>
    </xf>
    <xf numFmtId="2" fontId="22" fillId="0" borderId="28" xfId="0" applyNumberFormat="1" applyFont="1" applyBorder="1" applyAlignment="1">
      <alignment horizontal="center" vertical="center"/>
    </xf>
    <xf numFmtId="0" fontId="30" fillId="0" borderId="61" xfId="0" applyFont="1" applyBorder="1"/>
    <xf numFmtId="0" fontId="11" fillId="0" borderId="60" xfId="0" applyFont="1" applyBorder="1" applyAlignment="1">
      <alignment horizontal="center" vertical="center" wrapText="1"/>
    </xf>
    <xf numFmtId="0" fontId="11" fillId="0" borderId="0" xfId="0" applyFont="1" applyAlignment="1">
      <alignment vertical="top" wrapText="1"/>
    </xf>
    <xf numFmtId="0" fontId="12" fillId="0" borderId="61" xfId="0" applyFont="1" applyBorder="1"/>
    <xf numFmtId="0" fontId="22" fillId="0" borderId="28" xfId="0" applyFont="1" applyBorder="1"/>
    <xf numFmtId="2" fontId="22" fillId="0" borderId="44" xfId="0" applyNumberFormat="1" applyFont="1" applyBorder="1" applyAlignment="1">
      <alignment horizontal="center" vertical="center"/>
    </xf>
    <xf numFmtId="0" fontId="12" fillId="0" borderId="60" xfId="0" applyFont="1" applyBorder="1" applyAlignment="1">
      <alignment horizontal="center" vertical="center"/>
    </xf>
    <xf numFmtId="9" fontId="12" fillId="0" borderId="0" xfId="0" applyNumberFormat="1" applyFont="1"/>
    <xf numFmtId="0" fontId="13" fillId="0" borderId="61" xfId="0" applyFont="1" applyBorder="1"/>
    <xf numFmtId="0" fontId="11" fillId="0" borderId="28" xfId="0" applyFont="1" applyBorder="1" applyAlignment="1">
      <alignment horizontal="center" vertical="center"/>
    </xf>
    <xf numFmtId="166" fontId="12" fillId="0" borderId="0" xfId="0" applyNumberFormat="1" applyFont="1"/>
    <xf numFmtId="168" fontId="11" fillId="0" borderId="0" xfId="0" applyNumberFormat="1" applyFont="1"/>
    <xf numFmtId="168" fontId="11" fillId="0" borderId="0" xfId="5" applyNumberFormat="1" applyFont="1"/>
    <xf numFmtId="0" fontId="31" fillId="0" borderId="0" xfId="0" applyFont="1"/>
    <xf numFmtId="168" fontId="22" fillId="0" borderId="0" xfId="0" applyNumberFormat="1" applyFont="1"/>
    <xf numFmtId="168" fontId="22" fillId="0" borderId="0" xfId="5" applyNumberFormat="1" applyFont="1"/>
    <xf numFmtId="0" fontId="11" fillId="0" borderId="28" xfId="0" applyFont="1" applyBorder="1" applyAlignment="1">
      <alignment horizontal="center"/>
    </xf>
    <xf numFmtId="165" fontId="12" fillId="0" borderId="0" xfId="0" applyNumberFormat="1" applyFont="1"/>
    <xf numFmtId="0" fontId="12" fillId="0" borderId="56" xfId="0" applyFont="1" applyBorder="1" applyAlignment="1">
      <alignment horizontal="center"/>
    </xf>
    <xf numFmtId="0" fontId="32" fillId="0" borderId="0" xfId="0" applyFont="1"/>
    <xf numFmtId="0" fontId="32" fillId="0" borderId="0" xfId="0" applyFont="1" applyAlignment="1">
      <alignment horizontal="center"/>
    </xf>
    <xf numFmtId="0" fontId="33" fillId="0" borderId="0" xfId="0" applyFont="1" applyAlignment="1">
      <alignment horizontal="center"/>
    </xf>
    <xf numFmtId="167" fontId="12" fillId="0" borderId="0" xfId="0" applyNumberFormat="1" applyFont="1" applyAlignment="1">
      <alignment horizontal="center" vertical="center"/>
    </xf>
    <xf numFmtId="0" fontId="14" fillId="0" borderId="0" xfId="0" applyFont="1" applyAlignment="1">
      <alignment horizontal="center"/>
    </xf>
    <xf numFmtId="0" fontId="34" fillId="0" borderId="0" xfId="0" applyFont="1"/>
    <xf numFmtId="0" fontId="34" fillId="0" borderId="0" xfId="0" applyFont="1" applyAlignment="1">
      <alignment horizontal="center" wrapText="1"/>
    </xf>
    <xf numFmtId="0" fontId="18" fillId="0" borderId="0" xfId="0" applyFont="1"/>
    <xf numFmtId="0" fontId="18" fillId="0" borderId="0" xfId="0" applyFont="1" applyAlignment="1">
      <alignment horizontal="center"/>
    </xf>
    <xf numFmtId="0" fontId="10" fillId="0" borderId="0" xfId="0" applyFont="1" applyAlignment="1">
      <alignment horizontal="center" vertical="center"/>
    </xf>
    <xf numFmtId="164" fontId="18" fillId="0" borderId="0" xfId="0" applyNumberFormat="1" applyFont="1" applyAlignment="1">
      <alignment horizontal="right"/>
    </xf>
    <xf numFmtId="164" fontId="18" fillId="0" borderId="0" xfId="0" applyNumberFormat="1" applyFont="1" applyAlignment="1">
      <alignment horizontal="center"/>
    </xf>
    <xf numFmtId="0" fontId="22" fillId="0" borderId="11" xfId="0" applyFont="1" applyBorder="1" applyAlignment="1">
      <alignment horizontal="center" vertical="center"/>
    </xf>
    <xf numFmtId="0" fontId="22" fillId="0" borderId="18" xfId="0" applyFont="1" applyBorder="1" applyAlignment="1">
      <alignment horizontal="center" vertical="center"/>
    </xf>
    <xf numFmtId="0" fontId="31" fillId="0" borderId="19" xfId="0" applyFont="1" applyBorder="1" applyAlignment="1">
      <alignment horizontal="center"/>
    </xf>
    <xf numFmtId="167" fontId="22" fillId="0" borderId="18" xfId="0" applyNumberFormat="1" applyFont="1" applyBorder="1" applyAlignment="1">
      <alignment horizontal="center" vertical="center"/>
    </xf>
    <xf numFmtId="0" fontId="31" fillId="0" borderId="70" xfId="0" applyFont="1" applyBorder="1" applyAlignment="1">
      <alignment horizontal="center"/>
    </xf>
    <xf numFmtId="0" fontId="31" fillId="0" borderId="10" xfId="0" applyFont="1" applyBorder="1" applyAlignment="1">
      <alignment horizontal="center"/>
    </xf>
    <xf numFmtId="0" fontId="11" fillId="0" borderId="11" xfId="0" applyFont="1" applyBorder="1" applyAlignment="1">
      <alignment horizontal="center"/>
    </xf>
    <xf numFmtId="0" fontId="22" fillId="0" borderId="8" xfId="0" applyFont="1" applyBorder="1" applyAlignment="1">
      <alignment horizontal="center" vertical="center"/>
    </xf>
    <xf numFmtId="0" fontId="12" fillId="0" borderId="69" xfId="0" applyFont="1" applyBorder="1"/>
    <xf numFmtId="0" fontId="12" fillId="0" borderId="12" xfId="0" applyFont="1" applyBorder="1"/>
    <xf numFmtId="0" fontId="11" fillId="0" borderId="9" xfId="0" applyFont="1" applyBorder="1" applyAlignment="1">
      <alignment horizontal="center"/>
    </xf>
    <xf numFmtId="0" fontId="11" fillId="0" borderId="12" xfId="0" applyFont="1" applyBorder="1" applyAlignment="1">
      <alignment vertical="center"/>
    </xf>
    <xf numFmtId="0" fontId="37" fillId="0" borderId="9" xfId="0" applyFont="1" applyBorder="1" applyAlignment="1">
      <alignment horizontal="center" vertical="center"/>
    </xf>
    <xf numFmtId="0" fontId="10" fillId="0" borderId="9" xfId="0" applyFont="1" applyBorder="1" applyAlignment="1">
      <alignment horizontal="center"/>
    </xf>
    <xf numFmtId="0" fontId="10" fillId="0" borderId="38" xfId="0" applyFont="1" applyBorder="1" applyAlignment="1">
      <alignment horizontal="center"/>
    </xf>
    <xf numFmtId="0" fontId="12" fillId="0" borderId="33" xfId="0" applyFont="1" applyBorder="1"/>
    <xf numFmtId="0" fontId="31" fillId="0" borderId="28" xfId="0" applyFont="1" applyBorder="1" applyAlignment="1">
      <alignment horizontal="center"/>
    </xf>
    <xf numFmtId="0" fontId="12" fillId="0" borderId="65" xfId="0" applyFont="1" applyBorder="1"/>
    <xf numFmtId="0" fontId="12" fillId="0" borderId="71" xfId="0" applyFont="1" applyBorder="1"/>
    <xf numFmtId="0" fontId="12" fillId="0" borderId="44" xfId="0" applyFont="1" applyBorder="1"/>
    <xf numFmtId="0" fontId="31" fillId="0" borderId="0" xfId="0" applyFont="1" applyAlignment="1">
      <alignment horizontal="center"/>
    </xf>
    <xf numFmtId="0" fontId="10" fillId="0" borderId="0" xfId="0" applyFont="1" applyAlignment="1">
      <alignment horizontal="center"/>
    </xf>
    <xf numFmtId="0" fontId="22" fillId="0" borderId="39" xfId="0" applyFont="1" applyBorder="1" applyAlignment="1">
      <alignment horizontal="center" vertical="center"/>
    </xf>
    <xf numFmtId="0" fontId="22" fillId="0" borderId="12" xfId="0" applyFont="1" applyBorder="1" applyAlignment="1">
      <alignment horizontal="center"/>
    </xf>
    <xf numFmtId="0" fontId="11" fillId="0" borderId="38" xfId="0" applyFont="1" applyBorder="1" applyAlignment="1">
      <alignment horizontal="center"/>
    </xf>
    <xf numFmtId="0" fontId="12" fillId="0" borderId="26" xfId="0" applyFont="1" applyBorder="1"/>
    <xf numFmtId="0" fontId="11" fillId="0" borderId="34" xfId="0" applyFont="1" applyBorder="1" applyAlignment="1">
      <alignment horizontal="center"/>
    </xf>
    <xf numFmtId="0" fontId="11" fillId="0" borderId="30" xfId="0" applyFont="1" applyBorder="1" applyAlignment="1">
      <alignment vertical="center"/>
    </xf>
    <xf numFmtId="0" fontId="38" fillId="0" borderId="0" xfId="0" applyFont="1" applyAlignment="1">
      <alignment horizontal="center"/>
    </xf>
    <xf numFmtId="0" fontId="39" fillId="0" borderId="0" xfId="0" applyFont="1" applyAlignment="1">
      <alignment horizontal="center" vertical="center"/>
    </xf>
    <xf numFmtId="167" fontId="22" fillId="0" borderId="11"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11" fillId="0" borderId="34" xfId="0" applyFont="1" applyBorder="1" applyAlignment="1">
      <alignment horizontal="center" vertical="center"/>
    </xf>
    <xf numFmtId="0" fontId="11" fillId="0" borderId="30" xfId="0" applyFont="1" applyBorder="1" applyAlignment="1">
      <alignment horizontal="center" vertical="center"/>
    </xf>
    <xf numFmtId="0" fontId="31" fillId="0" borderId="30" xfId="0" applyFont="1" applyBorder="1" applyAlignment="1">
      <alignment horizontal="left" vertical="center"/>
    </xf>
    <xf numFmtId="0" fontId="31" fillId="0" borderId="0" xfId="0" applyFont="1" applyAlignment="1">
      <alignment horizontal="center" vertical="center"/>
    </xf>
    <xf numFmtId="0" fontId="31" fillId="0" borderId="64" xfId="0" applyFont="1" applyBorder="1" applyAlignment="1">
      <alignment horizontal="center" vertical="center"/>
    </xf>
    <xf numFmtId="0" fontId="22" fillId="0" borderId="30" xfId="0" applyFont="1" applyBorder="1" applyAlignment="1">
      <alignment horizontal="center"/>
    </xf>
    <xf numFmtId="3" fontId="12" fillId="0" borderId="0" xfId="0" applyNumberFormat="1" applyFont="1"/>
    <xf numFmtId="10" fontId="12" fillId="0" borderId="0" xfId="5" applyNumberFormat="1" applyFont="1"/>
    <xf numFmtId="0" fontId="12" fillId="0" borderId="41" xfId="0" applyFont="1" applyBorder="1"/>
    <xf numFmtId="0" fontId="12" fillId="0" borderId="30" xfId="0" applyFont="1" applyBorder="1"/>
    <xf numFmtId="0" fontId="12" fillId="0" borderId="64" xfId="0" applyFont="1" applyBorder="1"/>
    <xf numFmtId="0" fontId="10" fillId="0" borderId="42" xfId="0" applyFont="1" applyBorder="1" applyAlignment="1">
      <alignment horizontal="center" vertical="center"/>
    </xf>
    <xf numFmtId="0" fontId="11" fillId="0" borderId="42" xfId="0" applyFont="1" applyBorder="1" applyAlignment="1">
      <alignment horizontal="center"/>
    </xf>
    <xf numFmtId="2" fontId="12" fillId="0" borderId="0" xfId="0" applyNumberFormat="1" applyFont="1"/>
    <xf numFmtId="0" fontId="22" fillId="0" borderId="28" xfId="0" applyFont="1" applyBorder="1" applyAlignment="1">
      <alignment horizontal="center"/>
    </xf>
    <xf numFmtId="0" fontId="41" fillId="0" borderId="0" xfId="0" applyFont="1"/>
    <xf numFmtId="0" fontId="17" fillId="0" borderId="0" xfId="0" applyFont="1" applyAlignment="1">
      <alignment vertical="top" wrapText="1"/>
    </xf>
    <xf numFmtId="0" fontId="13" fillId="0" borderId="0" xfId="0" applyFont="1" applyAlignment="1">
      <alignment horizontal="center"/>
    </xf>
    <xf numFmtId="0" fontId="10" fillId="0" borderId="0" xfId="0" applyFont="1" applyAlignment="1">
      <alignment horizontal="center" vertical="center" wrapText="1"/>
    </xf>
    <xf numFmtId="0" fontId="17" fillId="0" borderId="0" xfId="0" applyFont="1" applyAlignment="1">
      <alignment horizontal="center" vertical="top" wrapText="1"/>
    </xf>
    <xf numFmtId="0" fontId="17" fillId="0" borderId="0" xfId="0" applyFont="1" applyAlignment="1">
      <alignment vertical="top"/>
    </xf>
    <xf numFmtId="0" fontId="22" fillId="0" borderId="11"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9" xfId="0" applyFont="1" applyBorder="1" applyAlignment="1">
      <alignment horizontal="center" vertical="center"/>
    </xf>
    <xf numFmtId="0" fontId="22" fillId="0" borderId="35" xfId="0" applyFont="1" applyBorder="1" applyAlignment="1">
      <alignment horizontal="center"/>
    </xf>
    <xf numFmtId="4" fontId="12" fillId="0" borderId="0" xfId="0" applyNumberFormat="1" applyFont="1"/>
    <xf numFmtId="0" fontId="11" fillId="0" borderId="26" xfId="0" applyFont="1" applyBorder="1" applyAlignment="1">
      <alignment vertical="center"/>
    </xf>
    <xf numFmtId="0" fontId="31" fillId="0" borderId="28" xfId="0" applyFont="1" applyBorder="1" applyAlignment="1">
      <alignment horizontal="center" vertical="center"/>
    </xf>
    <xf numFmtId="4" fontId="10" fillId="0" borderId="65" xfId="0" applyNumberFormat="1" applyFont="1" applyBorder="1" applyAlignment="1">
      <alignment horizontal="center" vertical="center"/>
    </xf>
    <xf numFmtId="167" fontId="10" fillId="0" borderId="44" xfId="0" applyNumberFormat="1" applyFont="1" applyBorder="1" applyAlignment="1">
      <alignment horizontal="center"/>
    </xf>
    <xf numFmtId="0" fontId="31" fillId="0" borderId="8" xfId="0" applyFont="1" applyBorder="1" applyAlignment="1">
      <alignment horizontal="center" vertical="center"/>
    </xf>
    <xf numFmtId="0" fontId="11" fillId="0" borderId="30" xfId="0" applyFont="1" applyBorder="1" applyAlignment="1">
      <alignment horizontal="center"/>
    </xf>
    <xf numFmtId="0" fontId="20" fillId="0" borderId="0" xfId="0" applyFont="1" applyAlignment="1">
      <alignment horizontal="left" vertical="top" wrapText="1"/>
    </xf>
    <xf numFmtId="167" fontId="11" fillId="0" borderId="39" xfId="0" applyNumberFormat="1" applyFont="1" applyBorder="1" applyAlignment="1">
      <alignment horizontal="center" vertical="center"/>
    </xf>
    <xf numFmtId="0" fontId="11" fillId="0" borderId="35" xfId="0" applyFont="1" applyBorder="1"/>
    <xf numFmtId="0" fontId="10" fillId="0" borderId="9" xfId="0" applyFont="1" applyBorder="1" applyAlignment="1">
      <alignment horizontal="center" vertical="center"/>
    </xf>
    <xf numFmtId="0" fontId="10" fillId="0" borderId="38" xfId="0" applyFont="1" applyBorder="1" applyAlignment="1">
      <alignment horizontal="center" vertical="center"/>
    </xf>
    <xf numFmtId="167" fontId="10" fillId="0" borderId="35" xfId="0" applyNumberFormat="1" applyFont="1" applyBorder="1" applyAlignment="1">
      <alignment horizontal="center" vertical="center"/>
    </xf>
    <xf numFmtId="0" fontId="31" fillId="0" borderId="10" xfId="0" applyFont="1" applyBorder="1" applyAlignment="1">
      <alignment horizontal="center" vertical="center"/>
    </xf>
    <xf numFmtId="167" fontId="10" fillId="0" borderId="67" xfId="0" applyNumberFormat="1" applyFont="1" applyBorder="1" applyAlignment="1">
      <alignment horizontal="center" vertical="center"/>
    </xf>
    <xf numFmtId="0" fontId="11" fillId="0" borderId="0" xfId="0" applyFont="1" applyAlignment="1">
      <alignment vertical="center"/>
    </xf>
    <xf numFmtId="167" fontId="10" fillId="0" borderId="0" xfId="0" applyNumberFormat="1" applyFont="1" applyAlignment="1">
      <alignment horizontal="center" vertical="center"/>
    </xf>
    <xf numFmtId="4" fontId="22" fillId="0" borderId="0" xfId="0" applyNumberFormat="1" applyFont="1" applyAlignment="1">
      <alignment horizontal="center" vertical="center"/>
    </xf>
    <xf numFmtId="0" fontId="32" fillId="0" borderId="0" xfId="0" applyFont="1" applyAlignment="1">
      <alignment horizontal="left"/>
    </xf>
    <xf numFmtId="0" fontId="20" fillId="0" borderId="25" xfId="0" applyFont="1" applyBorder="1" applyAlignment="1">
      <alignment horizontal="left" vertical="top" wrapText="1"/>
    </xf>
    <xf numFmtId="0" fontId="27" fillId="0" borderId="0" xfId="0" applyFont="1" applyAlignment="1">
      <alignment horizontal="left" wrapText="1"/>
    </xf>
    <xf numFmtId="0" fontId="17" fillId="0" borderId="0" xfId="0" applyFont="1" applyAlignment="1">
      <alignment horizontal="center" wrapText="1"/>
    </xf>
    <xf numFmtId="0" fontId="10" fillId="0" borderId="1" xfId="0" applyFont="1" applyBorder="1" applyAlignment="1">
      <alignment horizontal="center"/>
    </xf>
    <xf numFmtId="0" fontId="10" fillId="0" borderId="1" xfId="0" applyFont="1" applyBorder="1" applyAlignment="1">
      <alignment horizontal="center" wrapText="1"/>
    </xf>
    <xf numFmtId="0" fontId="10" fillId="0" borderId="3" xfId="0" applyFont="1" applyBorder="1" applyAlignment="1">
      <alignment horizontal="center" wrapText="1"/>
    </xf>
    <xf numFmtId="0" fontId="10" fillId="0" borderId="3" xfId="0" applyFont="1" applyBorder="1" applyAlignment="1">
      <alignment horizontal="center"/>
    </xf>
    <xf numFmtId="164" fontId="22" fillId="0" borderId="0" xfId="0" applyNumberFormat="1" applyFont="1" applyAlignment="1">
      <alignment horizontal="center"/>
    </xf>
    <xf numFmtId="0" fontId="11" fillId="0" borderId="3" xfId="0" applyFont="1" applyBorder="1" applyAlignment="1">
      <alignment horizontal="center" vertical="center"/>
    </xf>
    <xf numFmtId="0" fontId="11" fillId="0" borderId="3" xfId="0" applyFont="1" applyBorder="1" applyAlignment="1">
      <alignment horizontal="center"/>
    </xf>
    <xf numFmtId="0" fontId="11" fillId="0" borderId="49" xfId="0" applyFont="1" applyBorder="1" applyAlignment="1">
      <alignment horizontal="center"/>
    </xf>
    <xf numFmtId="0" fontId="17" fillId="0" borderId="45" xfId="0" applyFont="1" applyBorder="1" applyAlignment="1">
      <alignment wrapText="1"/>
    </xf>
    <xf numFmtId="0" fontId="17" fillId="0" borderId="45" xfId="0" applyFont="1" applyBorder="1" applyAlignment="1">
      <alignment horizontal="right"/>
    </xf>
    <xf numFmtId="0" fontId="17" fillId="0" borderId="45" xfId="0" applyFont="1" applyBorder="1" applyAlignment="1">
      <alignment horizontal="center"/>
    </xf>
    <xf numFmtId="0" fontId="17" fillId="0" borderId="45" xfId="0" applyFont="1" applyBorder="1"/>
    <xf numFmtId="0" fontId="17" fillId="0" borderId="25" xfId="0" applyFont="1" applyBorder="1" applyAlignment="1">
      <alignment wrapText="1"/>
    </xf>
    <xf numFmtId="0" fontId="17" fillId="0" borderId="25" xfId="0" applyFont="1" applyBorder="1" applyAlignment="1">
      <alignment horizontal="right"/>
    </xf>
    <xf numFmtId="0" fontId="17" fillId="0" borderId="25" xfId="0" applyFont="1" applyBorder="1" applyAlignment="1">
      <alignment horizontal="center"/>
    </xf>
    <xf numFmtId="0" fontId="17" fillId="0" borderId="25" xfId="0" applyFont="1" applyBorder="1"/>
    <xf numFmtId="2" fontId="17" fillId="0" borderId="25" xfId="0" applyNumberFormat="1" applyFont="1" applyBorder="1" applyAlignment="1">
      <alignment horizontal="center"/>
    </xf>
    <xf numFmtId="0" fontId="17" fillId="0" borderId="58" xfId="0" applyFont="1" applyBorder="1"/>
    <xf numFmtId="0" fontId="44" fillId="0" borderId="0" xfId="0" applyFont="1" applyAlignment="1">
      <alignment horizontal="center"/>
    </xf>
    <xf numFmtId="0" fontId="34" fillId="0" borderId="0" xfId="0" applyFont="1" applyAlignment="1">
      <alignment horizontal="left" wrapText="1"/>
    </xf>
    <xf numFmtId="0" fontId="34" fillId="0" borderId="0" xfId="0" applyFont="1" applyAlignment="1">
      <alignment wrapText="1"/>
    </xf>
    <xf numFmtId="0" fontId="22" fillId="0" borderId="28" xfId="0"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11" fillId="0" borderId="75" xfId="0" applyFont="1" applyBorder="1" applyAlignment="1">
      <alignment horizontal="center" vertical="center"/>
    </xf>
    <xf numFmtId="0" fontId="11" fillId="0" borderId="12" xfId="0" applyFont="1" applyBorder="1" applyAlignment="1">
      <alignment horizontal="center" vertical="center"/>
    </xf>
    <xf numFmtId="0" fontId="10" fillId="0" borderId="31" xfId="0" applyFont="1" applyBorder="1" applyAlignment="1">
      <alignment horizontal="center" wrapText="1"/>
    </xf>
    <xf numFmtId="0" fontId="31" fillId="0" borderId="9" xfId="0" applyFont="1" applyBorder="1" applyAlignment="1">
      <alignment horizontal="center" wrapText="1"/>
    </xf>
    <xf numFmtId="0" fontId="10" fillId="0" borderId="10" xfId="0" applyFont="1" applyBorder="1" applyAlignment="1">
      <alignment horizontal="center" wrapText="1"/>
    </xf>
    <xf numFmtId="0" fontId="11" fillId="0" borderId="31" xfId="0" applyFont="1" applyBorder="1" applyAlignment="1">
      <alignment horizontal="center"/>
    </xf>
    <xf numFmtId="0" fontId="22" fillId="0" borderId="9" xfId="0" applyFont="1" applyBorder="1" applyAlignment="1">
      <alignment horizontal="center"/>
    </xf>
    <xf numFmtId="0" fontId="11" fillId="0" borderId="10" xfId="0" applyFont="1" applyBorder="1" applyAlignment="1">
      <alignment horizontal="center"/>
    </xf>
    <xf numFmtId="0" fontId="31" fillId="0" borderId="28" xfId="0" applyFont="1" applyBorder="1" applyAlignment="1">
      <alignment horizontal="center" wrapText="1"/>
    </xf>
    <xf numFmtId="0" fontId="31" fillId="0" borderId="31" xfId="0" applyFont="1" applyBorder="1" applyAlignment="1">
      <alignment horizontal="center"/>
    </xf>
    <xf numFmtId="0" fontId="11" fillId="0" borderId="26" xfId="0" applyFont="1" applyBorder="1" applyAlignment="1">
      <alignment horizontal="center" vertical="center"/>
    </xf>
    <xf numFmtId="0" fontId="22" fillId="0" borderId="10" xfId="0" applyFont="1" applyBorder="1" applyAlignment="1">
      <alignment horizontal="center"/>
    </xf>
    <xf numFmtId="168" fontId="12" fillId="0" borderId="0" xfId="5" applyNumberFormat="1" applyFont="1"/>
    <xf numFmtId="0" fontId="39" fillId="0" borderId="0" xfId="0" applyFont="1" applyAlignment="1">
      <alignment horizontal="center" vertical="center" wrapText="1"/>
    </xf>
    <xf numFmtId="0" fontId="31" fillId="0" borderId="11" xfId="0" applyFont="1" applyBorder="1" applyAlignment="1">
      <alignment horizontal="center" vertical="center"/>
    </xf>
    <xf numFmtId="0" fontId="11" fillId="0" borderId="11" xfId="0" applyFont="1" applyBorder="1" applyAlignment="1">
      <alignment horizontal="center" vertical="center"/>
    </xf>
    <xf numFmtId="0" fontId="10" fillId="0" borderId="9" xfId="0" applyFont="1" applyBorder="1" applyAlignment="1">
      <alignment horizontal="center" wrapText="1"/>
    </xf>
    <xf numFmtId="0" fontId="22" fillId="0" borderId="0" xfId="0" applyFont="1" applyAlignment="1">
      <alignment horizontal="center" vertical="center"/>
    </xf>
    <xf numFmtId="0" fontId="11" fillId="0" borderId="0" xfId="0" applyFont="1" applyAlignment="1">
      <alignment horizontal="center" vertical="center" wrapText="1"/>
    </xf>
    <xf numFmtId="0" fontId="11" fillId="0" borderId="12" xfId="0" applyFont="1" applyBorder="1"/>
    <xf numFmtId="0" fontId="12" fillId="0" borderId="12" xfId="0" applyFont="1" applyBorder="1" applyAlignment="1">
      <alignment horizontal="center"/>
    </xf>
    <xf numFmtId="0" fontId="42" fillId="0" borderId="0" xfId="0" applyFont="1"/>
    <xf numFmtId="0" fontId="20" fillId="0" borderId="61" xfId="0" applyFont="1" applyBorder="1" applyAlignment="1">
      <alignment horizontal="left" vertical="top" wrapText="1"/>
    </xf>
    <xf numFmtId="0" fontId="20" fillId="0" borderId="45" xfId="0" applyFont="1" applyBorder="1" applyAlignment="1">
      <alignment horizontal="right" vertical="top" wrapText="1"/>
    </xf>
    <xf numFmtId="0" fontId="20" fillId="0" borderId="45" xfId="0" applyFont="1" applyBorder="1" applyAlignment="1">
      <alignment horizontal="left" vertical="top" wrapText="1"/>
    </xf>
    <xf numFmtId="0" fontId="20" fillId="0" borderId="25" xfId="0" applyFont="1" applyBorder="1" applyAlignment="1">
      <alignment horizontal="right" vertical="top" wrapText="1"/>
    </xf>
    <xf numFmtId="164" fontId="20" fillId="0" borderId="25" xfId="0" applyNumberFormat="1" applyFont="1" applyBorder="1" applyAlignment="1">
      <alignment horizontal="right" vertical="top" wrapText="1"/>
    </xf>
    <xf numFmtId="0" fontId="20" fillId="0" borderId="0" xfId="0" applyFont="1" applyAlignment="1">
      <alignment horizontal="right" vertical="top" wrapText="1"/>
    </xf>
    <xf numFmtId="164" fontId="20" fillId="0" borderId="0" xfId="0" applyNumberFormat="1" applyFont="1" applyAlignment="1">
      <alignment horizontal="right" vertical="top" wrapText="1"/>
    </xf>
    <xf numFmtId="0" fontId="10" fillId="0" borderId="39" xfId="0" applyFont="1" applyBorder="1" applyAlignment="1">
      <alignment horizontal="center"/>
    </xf>
    <xf numFmtId="0" fontId="10" fillId="0" borderId="12" xfId="0" applyFont="1" applyBorder="1" applyAlignment="1">
      <alignment vertical="center"/>
    </xf>
    <xf numFmtId="0" fontId="31" fillId="0" borderId="42" xfId="0" applyFont="1" applyBorder="1" applyAlignment="1">
      <alignment horizontal="center" vertical="center" wrapText="1"/>
    </xf>
    <xf numFmtId="0" fontId="31" fillId="0" borderId="42" xfId="0" applyFont="1" applyBorder="1" applyAlignment="1">
      <alignment horizontal="center"/>
    </xf>
    <xf numFmtId="0" fontId="10" fillId="0" borderId="12" xfId="0" applyFont="1" applyBorder="1" applyAlignment="1">
      <alignment horizontal="center" vertical="center"/>
    </xf>
    <xf numFmtId="0" fontId="10" fillId="0" borderId="66" xfId="0" applyFont="1" applyBorder="1" applyAlignment="1">
      <alignment horizontal="center"/>
    </xf>
    <xf numFmtId="0" fontId="31" fillId="0" borderId="66" xfId="0" applyFont="1" applyBorder="1" applyAlignment="1">
      <alignment horizontal="center"/>
    </xf>
    <xf numFmtId="0" fontId="10" fillId="0" borderId="30" xfId="0" applyFont="1" applyBorder="1" applyAlignment="1">
      <alignment horizontal="center" vertical="center"/>
    </xf>
    <xf numFmtId="0" fontId="31" fillId="0" borderId="9" xfId="0" applyFont="1" applyBorder="1" applyAlignment="1">
      <alignment horizontal="center"/>
    </xf>
    <xf numFmtId="0" fontId="10" fillId="0" borderId="26" xfId="0" applyFont="1" applyBorder="1" applyAlignment="1">
      <alignment horizontal="center" vertical="center"/>
    </xf>
    <xf numFmtId="0" fontId="10" fillId="0" borderId="0" xfId="0" applyFont="1" applyAlignment="1">
      <alignment wrapText="1"/>
    </xf>
    <xf numFmtId="0" fontId="47" fillId="0" borderId="0" xfId="0" applyFont="1" applyAlignment="1">
      <alignment horizontal="left" vertical="top" wrapText="1"/>
    </xf>
    <xf numFmtId="0" fontId="48" fillId="0" borderId="0" xfId="0" applyFont="1" applyAlignment="1">
      <alignment horizontal="left" vertical="top" wrapText="1"/>
    </xf>
    <xf numFmtId="0" fontId="12" fillId="0" borderId="60" xfId="0" applyFont="1" applyBorder="1"/>
    <xf numFmtId="0" fontId="10" fillId="0" borderId="46" xfId="0" applyFont="1" applyBorder="1" applyAlignment="1">
      <alignment wrapText="1"/>
    </xf>
    <xf numFmtId="0" fontId="11" fillId="0" borderId="46" xfId="0" applyFont="1" applyBorder="1" applyAlignment="1">
      <alignment horizontal="center"/>
    </xf>
    <xf numFmtId="0" fontId="22" fillId="0" borderId="34" xfId="0" applyFont="1" applyBorder="1" applyAlignment="1">
      <alignment horizontal="center" vertical="center"/>
    </xf>
    <xf numFmtId="0" fontId="10" fillId="0" borderId="54" xfId="0" applyFont="1" applyBorder="1" applyAlignment="1">
      <alignment horizontal="center" vertical="center"/>
    </xf>
    <xf numFmtId="0" fontId="10" fillId="0" borderId="8" xfId="0" applyFont="1" applyBorder="1" applyAlignment="1">
      <alignment horizontal="center" wrapText="1"/>
    </xf>
    <xf numFmtId="0" fontId="10" fillId="0" borderId="33" xfId="0" applyFont="1" applyBorder="1" applyAlignment="1">
      <alignment horizontal="center" vertical="center"/>
    </xf>
    <xf numFmtId="0" fontId="49" fillId="0" borderId="0" xfId="0" applyFont="1" applyAlignment="1">
      <alignment horizontal="left" vertical="top" wrapText="1"/>
    </xf>
    <xf numFmtId="0" fontId="49" fillId="0" borderId="0" xfId="0" applyFont="1" applyAlignment="1">
      <alignment horizontal="center" vertical="top" wrapText="1"/>
    </xf>
    <xf numFmtId="0" fontId="49" fillId="0" borderId="0" xfId="0" applyFont="1" applyAlignment="1">
      <alignment horizontal="center" vertical="center" wrapText="1"/>
    </xf>
    <xf numFmtId="0" fontId="30" fillId="0" borderId="0" xfId="0" applyFont="1"/>
    <xf numFmtId="2" fontId="13" fillId="0" borderId="0" xfId="0" applyNumberFormat="1" applyFont="1" applyAlignment="1">
      <alignment horizontal="center"/>
    </xf>
    <xf numFmtId="0" fontId="31" fillId="0" borderId="68"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72" xfId="0" applyFont="1" applyBorder="1" applyAlignment="1">
      <alignment horizontal="center" vertical="center" wrapText="1"/>
    </xf>
    <xf numFmtId="165" fontId="10" fillId="0" borderId="16" xfId="0" applyNumberFormat="1" applyFont="1" applyBorder="1" applyAlignment="1">
      <alignment horizontal="center" vertical="center"/>
    </xf>
    <xf numFmtId="167" fontId="12" fillId="0" borderId="0" xfId="0" applyNumberFormat="1" applyFont="1"/>
    <xf numFmtId="0" fontId="41" fillId="0" borderId="0" xfId="0" applyFont="1" applyAlignment="1">
      <alignment horizontal="center"/>
    </xf>
    <xf numFmtId="0" fontId="48" fillId="0" borderId="0" xfId="0" applyFont="1" applyAlignment="1">
      <alignment horizontal="center" vertical="top" wrapText="1"/>
    </xf>
    <xf numFmtId="0" fontId="10" fillId="0" borderId="73" xfId="0" applyFont="1" applyBorder="1" applyAlignment="1">
      <alignment horizontal="center" vertical="center"/>
    </xf>
    <xf numFmtId="0" fontId="10" fillId="0" borderId="74" xfId="0" applyFont="1" applyBorder="1" applyAlignment="1">
      <alignment horizontal="center" vertical="center"/>
    </xf>
    <xf numFmtId="0" fontId="10" fillId="0" borderId="75" xfId="0" applyFont="1" applyBorder="1" applyAlignment="1">
      <alignment horizontal="center" vertical="center"/>
    </xf>
    <xf numFmtId="0" fontId="22" fillId="0" borderId="28" xfId="0" applyFont="1" applyBorder="1" applyAlignment="1">
      <alignment horizontal="center" vertical="center" wrapText="1"/>
    </xf>
    <xf numFmtId="0" fontId="10" fillId="0" borderId="34" xfId="0" applyFont="1" applyBorder="1" applyAlignment="1">
      <alignment horizontal="center" vertical="center"/>
    </xf>
    <xf numFmtId="0" fontId="17" fillId="0" borderId="0" xfId="0" applyFont="1" applyAlignment="1">
      <alignment horizontal="left" wrapText="1"/>
    </xf>
    <xf numFmtId="0" fontId="10" fillId="0" borderId="0" xfId="0" applyFont="1" applyAlignment="1">
      <alignment horizontal="left"/>
    </xf>
    <xf numFmtId="0" fontId="12" fillId="0" borderId="0" xfId="8" applyFont="1"/>
    <xf numFmtId="0" fontId="35" fillId="8" borderId="1" xfId="7" applyFont="1" applyFill="1" applyBorder="1" applyAlignment="1">
      <alignment horizontal="center" vertical="top" wrapText="1"/>
    </xf>
    <xf numFmtId="1" fontId="11" fillId="8" borderId="31" xfId="8" applyNumberFormat="1" applyFont="1" applyFill="1" applyBorder="1" applyAlignment="1">
      <alignment horizontal="center"/>
    </xf>
    <xf numFmtId="0" fontId="11" fillId="0" borderId="10" xfId="8" applyFont="1" applyBorder="1" applyAlignment="1">
      <alignment horizontal="center" vertical="top" wrapText="1"/>
    </xf>
    <xf numFmtId="0" fontId="11" fillId="0" borderId="11" xfId="8" applyFont="1" applyBorder="1" applyAlignment="1">
      <alignment horizontal="center" vertical="center"/>
    </xf>
    <xf numFmtId="0" fontId="11" fillId="0" borderId="26" xfId="8" applyFont="1" applyBorder="1"/>
    <xf numFmtId="0" fontId="22" fillId="0" borderId="11" xfId="8" applyFont="1" applyBorder="1" applyAlignment="1">
      <alignment horizontal="center" vertical="center" wrapText="1"/>
    </xf>
    <xf numFmtId="0" fontId="22" fillId="0" borderId="28" xfId="8" applyFont="1" applyBorder="1" applyAlignment="1">
      <alignment horizontal="center" vertical="center"/>
    </xf>
    <xf numFmtId="0" fontId="10" fillId="0" borderId="78" xfId="7" applyFont="1" applyBorder="1" applyAlignment="1">
      <alignment horizontal="center" vertical="center"/>
    </xf>
    <xf numFmtId="0" fontId="10" fillId="0" borderId="74" xfId="7" applyFont="1" applyBorder="1" applyAlignment="1">
      <alignment horizontal="center" vertical="center"/>
    </xf>
    <xf numFmtId="0" fontId="10" fillId="0" borderId="75" xfId="7" applyFont="1" applyBorder="1" applyAlignment="1">
      <alignment horizontal="center" vertical="center"/>
    </xf>
    <xf numFmtId="0" fontId="31" fillId="0" borderId="28" xfId="7" applyFont="1" applyBorder="1" applyAlignment="1">
      <alignment horizontal="center" vertical="center" wrapText="1"/>
    </xf>
    <xf numFmtId="0" fontId="12" fillId="0" borderId="0" xfId="0" applyFont="1" applyAlignment="1">
      <alignment horizontal="center" wrapText="1"/>
    </xf>
    <xf numFmtId="0" fontId="27" fillId="7" borderId="1" xfId="0" applyFont="1" applyFill="1" applyBorder="1" applyAlignment="1">
      <alignment horizontal="center" wrapText="1"/>
    </xf>
    <xf numFmtId="164" fontId="10" fillId="7" borderId="1" xfId="0" applyNumberFormat="1" applyFont="1" applyFill="1" applyBorder="1" applyAlignment="1">
      <alignment horizontal="center"/>
    </xf>
    <xf numFmtId="0" fontId="35" fillId="7" borderId="1" xfId="0" applyFont="1" applyFill="1" applyBorder="1" applyAlignment="1">
      <alignment horizontal="center" vertical="top" wrapText="1"/>
    </xf>
    <xf numFmtId="9" fontId="11" fillId="7" borderId="31" xfId="5" applyFont="1" applyFill="1" applyBorder="1" applyAlignment="1">
      <alignment horizontal="center"/>
    </xf>
    <xf numFmtId="167" fontId="10" fillId="7" borderId="40" xfId="0" applyNumberFormat="1" applyFont="1" applyFill="1" applyBorder="1" applyAlignment="1">
      <alignment horizontal="center"/>
    </xf>
    <xf numFmtId="9" fontId="11" fillId="7" borderId="8" xfId="5" applyFont="1" applyFill="1" applyBorder="1" applyAlignment="1">
      <alignment horizontal="center"/>
    </xf>
    <xf numFmtId="167" fontId="10" fillId="7" borderId="32" xfId="0" applyNumberFormat="1" applyFont="1" applyFill="1" applyBorder="1" applyAlignment="1">
      <alignment horizontal="center"/>
    </xf>
    <xf numFmtId="0" fontId="35" fillId="7" borderId="37" xfId="0" applyFont="1" applyFill="1" applyBorder="1" applyAlignment="1">
      <alignment horizontal="center" vertical="top" wrapText="1"/>
    </xf>
    <xf numFmtId="0" fontId="35" fillId="7" borderId="1" xfId="0" applyFont="1" applyFill="1" applyBorder="1" applyAlignment="1">
      <alignment horizontal="center" wrapText="1"/>
    </xf>
    <xf numFmtId="167" fontId="11" fillId="7" borderId="40" xfId="0" applyNumberFormat="1" applyFont="1" applyFill="1" applyBorder="1" applyAlignment="1">
      <alignment horizontal="center"/>
    </xf>
    <xf numFmtId="167" fontId="11" fillId="7" borderId="32" xfId="0" applyNumberFormat="1" applyFont="1" applyFill="1" applyBorder="1" applyAlignment="1">
      <alignment horizontal="center"/>
    </xf>
    <xf numFmtId="167" fontId="10" fillId="7" borderId="8" xfId="0" applyNumberFormat="1" applyFont="1" applyFill="1" applyBorder="1" applyAlignment="1">
      <alignment horizontal="center"/>
    </xf>
    <xf numFmtId="167" fontId="10" fillId="7" borderId="9" xfId="0" applyNumberFormat="1" applyFont="1" applyFill="1" applyBorder="1" applyAlignment="1">
      <alignment horizontal="center"/>
    </xf>
    <xf numFmtId="167" fontId="10" fillId="7" borderId="31" xfId="0" applyNumberFormat="1" applyFont="1" applyFill="1" applyBorder="1" applyAlignment="1">
      <alignment horizontal="center"/>
    </xf>
    <xf numFmtId="167" fontId="11" fillId="7" borderId="29" xfId="0" applyNumberFormat="1" applyFont="1" applyFill="1" applyBorder="1" applyAlignment="1">
      <alignment horizontal="center"/>
    </xf>
    <xf numFmtId="167" fontId="11" fillId="7" borderId="7" xfId="0" applyNumberFormat="1" applyFont="1" applyFill="1" applyBorder="1" applyAlignment="1">
      <alignment horizontal="center"/>
    </xf>
    <xf numFmtId="167" fontId="10" fillId="7" borderId="13" xfId="0" applyNumberFormat="1" applyFont="1" applyFill="1" applyBorder="1" applyAlignment="1">
      <alignment horizontal="center" vertical="center"/>
    </xf>
    <xf numFmtId="4" fontId="10" fillId="7" borderId="25" xfId="0" applyNumberFormat="1" applyFont="1" applyFill="1" applyBorder="1" applyAlignment="1">
      <alignment horizontal="center" vertical="center"/>
    </xf>
    <xf numFmtId="4" fontId="10" fillId="7" borderId="47" xfId="0" applyNumberFormat="1" applyFont="1" applyFill="1" applyBorder="1" applyAlignment="1">
      <alignment horizontal="center" vertical="center"/>
    </xf>
    <xf numFmtId="4" fontId="10" fillId="7" borderId="66" xfId="0" applyNumberFormat="1" applyFont="1" applyFill="1" applyBorder="1" applyAlignment="1">
      <alignment horizontal="center" vertical="center"/>
    </xf>
    <xf numFmtId="4" fontId="10" fillId="7" borderId="42" xfId="0" applyNumberFormat="1" applyFont="1" applyFill="1" applyBorder="1" applyAlignment="1">
      <alignment horizontal="center" vertical="center"/>
    </xf>
    <xf numFmtId="4" fontId="10" fillId="7" borderId="43" xfId="0" applyNumberFormat="1" applyFont="1" applyFill="1" applyBorder="1" applyAlignment="1">
      <alignment horizontal="center" vertical="center"/>
    </xf>
    <xf numFmtId="4" fontId="11" fillId="7" borderId="62" xfId="0" applyNumberFormat="1" applyFont="1" applyFill="1" applyBorder="1" applyAlignment="1">
      <alignment horizontal="center"/>
    </xf>
    <xf numFmtId="4" fontId="10" fillId="7" borderId="62" xfId="4" applyNumberFormat="1" applyFont="1" applyFill="1" applyBorder="1" applyAlignment="1">
      <alignment horizontal="center" vertical="center"/>
    </xf>
    <xf numFmtId="4" fontId="11" fillId="7" borderId="32" xfId="0" applyNumberFormat="1" applyFont="1" applyFill="1" applyBorder="1" applyAlignment="1">
      <alignment horizontal="center"/>
    </xf>
    <xf numFmtId="4" fontId="11" fillId="7" borderId="27" xfId="0" applyNumberFormat="1" applyFont="1" applyFill="1" applyBorder="1" applyAlignment="1">
      <alignment horizontal="center"/>
    </xf>
    <xf numFmtId="4" fontId="10" fillId="7" borderId="27" xfId="0" applyNumberFormat="1" applyFont="1" applyFill="1" applyBorder="1" applyAlignment="1">
      <alignment horizontal="center" vertical="center"/>
    </xf>
    <xf numFmtId="4" fontId="11" fillId="7" borderId="63" xfId="0" applyNumberFormat="1" applyFont="1" applyFill="1" applyBorder="1" applyAlignment="1">
      <alignment horizontal="center"/>
    </xf>
    <xf numFmtId="4" fontId="10" fillId="7" borderId="18" xfId="0" applyNumberFormat="1" applyFont="1" applyFill="1" applyBorder="1" applyAlignment="1">
      <alignment horizontal="center" vertical="center"/>
    </xf>
    <xf numFmtId="164" fontId="10" fillId="7" borderId="17" xfId="0" applyNumberFormat="1" applyFont="1" applyFill="1" applyBorder="1" applyAlignment="1">
      <alignment horizontal="center"/>
    </xf>
    <xf numFmtId="1" fontId="11" fillId="8" borderId="26" xfId="8" applyNumberFormat="1" applyFont="1" applyFill="1" applyBorder="1" applyAlignment="1">
      <alignment horizontal="center"/>
    </xf>
    <xf numFmtId="0" fontId="11" fillId="0" borderId="8" xfId="8" applyFont="1" applyBorder="1" applyAlignment="1">
      <alignment horizontal="center" vertical="top" wrapText="1"/>
    </xf>
    <xf numFmtId="0" fontId="35" fillId="8" borderId="1" xfId="0" applyFont="1" applyFill="1" applyBorder="1" applyAlignment="1">
      <alignment horizontal="center" vertical="top" wrapText="1"/>
    </xf>
    <xf numFmtId="167" fontId="31" fillId="8" borderId="31" xfId="0" applyNumberFormat="1" applyFont="1" applyFill="1" applyBorder="1" applyAlignment="1">
      <alignment horizontal="center"/>
    </xf>
    <xf numFmtId="167" fontId="31" fillId="8" borderId="9" xfId="0" applyNumberFormat="1" applyFont="1" applyFill="1" applyBorder="1" applyAlignment="1">
      <alignment horizontal="center"/>
    </xf>
    <xf numFmtId="167" fontId="31" fillId="8" borderId="8" xfId="0" applyNumberFormat="1" applyFont="1" applyFill="1" applyBorder="1" applyAlignment="1">
      <alignment horizontal="center"/>
    </xf>
    <xf numFmtId="167" fontId="10" fillId="8" borderId="18" xfId="0" applyNumberFormat="1" applyFont="1" applyFill="1" applyBorder="1" applyAlignment="1">
      <alignment horizontal="center"/>
    </xf>
    <xf numFmtId="167" fontId="31" fillId="8" borderId="10" xfId="0" applyNumberFormat="1" applyFont="1" applyFill="1" applyBorder="1" applyAlignment="1">
      <alignment horizontal="center"/>
    </xf>
    <xf numFmtId="167" fontId="10" fillId="8" borderId="36" xfId="0" applyNumberFormat="1" applyFont="1" applyFill="1" applyBorder="1" applyAlignment="1">
      <alignment horizontal="center"/>
    </xf>
    <xf numFmtId="167" fontId="31" fillId="8" borderId="38" xfId="0" applyNumberFormat="1" applyFont="1" applyFill="1" applyBorder="1" applyAlignment="1">
      <alignment horizontal="center"/>
    </xf>
    <xf numFmtId="167" fontId="10" fillId="8" borderId="29" xfId="0" applyNumberFormat="1" applyFont="1" applyFill="1" applyBorder="1" applyAlignment="1">
      <alignment horizontal="center"/>
    </xf>
    <xf numFmtId="0" fontId="35" fillId="8" borderId="37" xfId="0" applyFont="1" applyFill="1" applyBorder="1" applyAlignment="1">
      <alignment horizontal="center" vertical="top" wrapText="1"/>
    </xf>
    <xf numFmtId="167" fontId="22" fillId="8" borderId="8" xfId="0" applyNumberFormat="1" applyFont="1" applyFill="1" applyBorder="1" applyAlignment="1">
      <alignment horizontal="center"/>
    </xf>
    <xf numFmtId="167" fontId="11" fillId="8" borderId="29" xfId="0" applyNumberFormat="1" applyFont="1" applyFill="1" applyBorder="1" applyAlignment="1">
      <alignment horizontal="center"/>
    </xf>
    <xf numFmtId="167" fontId="22" fillId="8" borderId="10" xfId="0" applyNumberFormat="1" applyFont="1" applyFill="1" applyBorder="1" applyAlignment="1">
      <alignment horizontal="center"/>
    </xf>
    <xf numFmtId="167" fontId="22" fillId="8" borderId="9" xfId="0" applyNumberFormat="1" applyFont="1" applyFill="1" applyBorder="1" applyAlignment="1">
      <alignment horizontal="center"/>
    </xf>
    <xf numFmtId="0" fontId="35" fillId="8" borderId="1" xfId="0" applyFont="1" applyFill="1" applyBorder="1" applyAlignment="1">
      <alignment horizontal="center" wrapText="1"/>
    </xf>
    <xf numFmtId="167" fontId="22" fillId="8" borderId="38" xfId="0" applyNumberFormat="1" applyFont="1" applyFill="1" applyBorder="1" applyAlignment="1">
      <alignment horizontal="center"/>
    </xf>
    <xf numFmtId="167" fontId="22" fillId="8" borderId="31" xfId="0" applyNumberFormat="1" applyFont="1" applyFill="1" applyBorder="1" applyAlignment="1">
      <alignment horizontal="center"/>
    </xf>
    <xf numFmtId="167" fontId="11" fillId="8" borderId="9" xfId="0" applyNumberFormat="1" applyFont="1" applyFill="1" applyBorder="1" applyAlignment="1">
      <alignment horizontal="center"/>
    </xf>
    <xf numFmtId="167" fontId="10" fillId="8" borderId="12" xfId="0" applyNumberFormat="1" applyFont="1" applyFill="1" applyBorder="1" applyAlignment="1">
      <alignment horizontal="center"/>
    </xf>
    <xf numFmtId="167" fontId="10" fillId="8" borderId="38" xfId="0" applyNumberFormat="1" applyFont="1" applyFill="1" applyBorder="1" applyAlignment="1">
      <alignment horizontal="center"/>
    </xf>
    <xf numFmtId="167" fontId="10" fillId="8" borderId="31" xfId="0" applyNumberFormat="1" applyFont="1" applyFill="1" applyBorder="1" applyAlignment="1">
      <alignment horizontal="center"/>
    </xf>
    <xf numFmtId="167" fontId="10" fillId="8" borderId="9" xfId="0" applyNumberFormat="1" applyFont="1" applyFill="1" applyBorder="1" applyAlignment="1">
      <alignment horizontal="center"/>
    </xf>
    <xf numFmtId="167" fontId="11" fillId="8" borderId="7" xfId="0" applyNumberFormat="1" applyFont="1" applyFill="1" applyBorder="1" applyAlignment="1">
      <alignment horizontal="center"/>
    </xf>
    <xf numFmtId="167" fontId="11" fillId="8" borderId="73" xfId="0" applyNumberFormat="1" applyFont="1" applyFill="1" applyBorder="1" applyAlignment="1">
      <alignment horizontal="center"/>
    </xf>
    <xf numFmtId="167" fontId="22" fillId="8" borderId="28" xfId="0" applyNumberFormat="1" applyFont="1" applyFill="1" applyBorder="1" applyAlignment="1">
      <alignment horizontal="center"/>
    </xf>
    <xf numFmtId="167" fontId="10" fillId="8" borderId="32" xfId="0" applyNumberFormat="1" applyFont="1" applyFill="1" applyBorder="1" applyAlignment="1">
      <alignment horizontal="center"/>
    </xf>
    <xf numFmtId="168" fontId="11" fillId="8" borderId="29" xfId="5" applyNumberFormat="1" applyFont="1" applyFill="1" applyBorder="1" applyAlignment="1">
      <alignment horizontal="center"/>
    </xf>
    <xf numFmtId="168" fontId="22" fillId="8" borderId="10" xfId="5" applyNumberFormat="1" applyFont="1" applyFill="1" applyBorder="1" applyAlignment="1">
      <alignment horizontal="center"/>
    </xf>
    <xf numFmtId="167" fontId="11" fillId="8" borderId="32" xfId="0" applyNumberFormat="1" applyFont="1" applyFill="1" applyBorder="1" applyAlignment="1">
      <alignment horizontal="center"/>
    </xf>
    <xf numFmtId="164" fontId="11" fillId="8" borderId="7" xfId="0" applyNumberFormat="1" applyFont="1" applyFill="1" applyBorder="1" applyAlignment="1">
      <alignment horizontal="center"/>
    </xf>
    <xf numFmtId="164" fontId="11" fillId="8" borderId="73" xfId="0" applyNumberFormat="1" applyFont="1" applyFill="1" applyBorder="1" applyAlignment="1">
      <alignment horizontal="center"/>
    </xf>
    <xf numFmtId="164" fontId="11" fillId="8" borderId="32" xfId="0" applyNumberFormat="1" applyFont="1" applyFill="1" applyBorder="1" applyAlignment="1">
      <alignment horizontal="center"/>
    </xf>
    <xf numFmtId="167" fontId="22" fillId="8" borderId="32" xfId="0" applyNumberFormat="1" applyFont="1" applyFill="1" applyBorder="1" applyAlignment="1">
      <alignment horizontal="center"/>
    </xf>
    <xf numFmtId="167" fontId="22" fillId="8" borderId="4" xfId="0" applyNumberFormat="1" applyFont="1" applyFill="1" applyBorder="1" applyAlignment="1">
      <alignment horizontal="center"/>
    </xf>
    <xf numFmtId="167" fontId="22" fillId="8" borderId="7" xfId="0" applyNumberFormat="1" applyFont="1" applyFill="1" applyBorder="1" applyAlignment="1">
      <alignment horizontal="center"/>
    </xf>
    <xf numFmtId="167" fontId="22" fillId="8" borderId="1" xfId="0" applyNumberFormat="1" applyFont="1" applyFill="1" applyBorder="1" applyAlignment="1">
      <alignment horizontal="center"/>
    </xf>
    <xf numFmtId="167" fontId="22" fillId="8" borderId="1" xfId="0" applyNumberFormat="1" applyFont="1" applyFill="1" applyBorder="1" applyAlignment="1">
      <alignment horizontal="center" vertical="center"/>
    </xf>
    <xf numFmtId="168" fontId="22" fillId="8" borderId="7" xfId="5" applyNumberFormat="1" applyFont="1" applyFill="1" applyBorder="1" applyAlignment="1">
      <alignment horizontal="center" vertical="center"/>
    </xf>
    <xf numFmtId="168" fontId="22" fillId="8" borderId="1" xfId="5" applyNumberFormat="1" applyFont="1" applyFill="1" applyBorder="1" applyAlignment="1">
      <alignment horizontal="center" vertical="center"/>
    </xf>
    <xf numFmtId="168" fontId="22" fillId="8" borderId="4" xfId="5" applyNumberFormat="1" applyFont="1" applyFill="1" applyBorder="1" applyAlignment="1">
      <alignment horizontal="center" vertical="center"/>
    </xf>
    <xf numFmtId="4" fontId="10" fillId="8" borderId="9" xfId="0" applyNumberFormat="1" applyFont="1" applyFill="1" applyBorder="1" applyAlignment="1">
      <alignment horizontal="center" vertical="center"/>
    </xf>
    <xf numFmtId="4" fontId="22" fillId="8" borderId="8" xfId="0" applyNumberFormat="1" applyFont="1" applyFill="1" applyBorder="1" applyAlignment="1">
      <alignment horizontal="center" vertical="center"/>
    </xf>
    <xf numFmtId="4" fontId="22" fillId="8" borderId="10" xfId="0" applyNumberFormat="1" applyFont="1" applyFill="1" applyBorder="1" applyAlignment="1">
      <alignment horizontal="center" vertical="center"/>
    </xf>
    <xf numFmtId="4" fontId="10" fillId="8" borderId="9" xfId="0" applyNumberFormat="1" applyFont="1" applyFill="1" applyBorder="1" applyAlignment="1">
      <alignment horizontal="center"/>
    </xf>
    <xf numFmtId="4" fontId="10" fillId="8" borderId="38" xfId="0" applyNumberFormat="1" applyFont="1" applyFill="1" applyBorder="1" applyAlignment="1">
      <alignment horizontal="center"/>
    </xf>
    <xf numFmtId="4" fontId="31" fillId="8" borderId="28" xfId="0" applyNumberFormat="1" applyFont="1" applyFill="1" applyBorder="1" applyAlignment="1">
      <alignment horizontal="center"/>
    </xf>
    <xf numFmtId="167" fontId="10" fillId="8" borderId="10" xfId="0" applyNumberFormat="1" applyFont="1" applyFill="1" applyBorder="1" applyAlignment="1">
      <alignment horizontal="center"/>
    </xf>
    <xf numFmtId="4" fontId="10" fillId="8" borderId="10" xfId="0" applyNumberFormat="1" applyFont="1" applyFill="1" applyBorder="1" applyAlignment="1">
      <alignment horizontal="center"/>
    </xf>
    <xf numFmtId="2" fontId="11" fillId="8" borderId="9" xfId="0" applyNumberFormat="1" applyFont="1" applyFill="1" applyBorder="1" applyAlignment="1">
      <alignment horizontal="center" vertical="center"/>
    </xf>
    <xf numFmtId="4" fontId="10" fillId="8" borderId="41" xfId="0" applyNumberFormat="1" applyFont="1" applyFill="1" applyBorder="1" applyAlignment="1">
      <alignment horizontal="center" vertical="center" wrapText="1"/>
    </xf>
    <xf numFmtId="2" fontId="11" fillId="8" borderId="42" xfId="0" applyNumberFormat="1" applyFont="1" applyFill="1" applyBorder="1" applyAlignment="1">
      <alignment horizontal="center"/>
    </xf>
    <xf numFmtId="2" fontId="11" fillId="8" borderId="3" xfId="0" applyNumberFormat="1" applyFont="1" applyFill="1" applyBorder="1" applyAlignment="1">
      <alignment horizontal="center"/>
    </xf>
    <xf numFmtId="2" fontId="11" fillId="8" borderId="17" xfId="0" applyNumberFormat="1" applyFont="1" applyFill="1" applyBorder="1" applyAlignment="1">
      <alignment horizontal="center"/>
    </xf>
    <xf numFmtId="2" fontId="11" fillId="8" borderId="31" xfId="0" applyNumberFormat="1" applyFont="1" applyFill="1" applyBorder="1" applyAlignment="1">
      <alignment horizontal="center" vertical="center"/>
    </xf>
    <xf numFmtId="2" fontId="11" fillId="8" borderId="5" xfId="0" applyNumberFormat="1" applyFont="1" applyFill="1" applyBorder="1" applyAlignment="1">
      <alignment horizontal="center"/>
    </xf>
    <xf numFmtId="2" fontId="11" fillId="8" borderId="19" xfId="0" applyNumberFormat="1" applyFont="1" applyFill="1" applyBorder="1" applyAlignment="1">
      <alignment horizontal="center"/>
    </xf>
    <xf numFmtId="2" fontId="11" fillId="8" borderId="10" xfId="0" applyNumberFormat="1" applyFont="1" applyFill="1" applyBorder="1" applyAlignment="1">
      <alignment horizontal="center" vertical="center"/>
    </xf>
    <xf numFmtId="0" fontId="11" fillId="0" borderId="12" xfId="8" applyFont="1" applyBorder="1" applyAlignment="1">
      <alignment horizontal="center" vertical="center"/>
    </xf>
    <xf numFmtId="0" fontId="11" fillId="0" borderId="38" xfId="8" applyFont="1" applyBorder="1" applyAlignment="1">
      <alignment horizontal="center" vertical="top" wrapText="1"/>
    </xf>
    <xf numFmtId="1" fontId="11" fillId="8" borderId="12" xfId="8" applyNumberFormat="1" applyFont="1" applyFill="1" applyBorder="1" applyAlignment="1">
      <alignment horizontal="center"/>
    </xf>
    <xf numFmtId="1" fontId="11" fillId="8" borderId="8" xfId="8" applyNumberFormat="1" applyFont="1" applyFill="1" applyBorder="1" applyAlignment="1">
      <alignment horizontal="center"/>
    </xf>
    <xf numFmtId="0" fontId="11" fillId="0" borderId="26" xfId="8" applyFont="1" applyBorder="1" applyAlignment="1">
      <alignment horizontal="center" vertical="center"/>
    </xf>
    <xf numFmtId="0" fontId="11" fillId="0" borderId="12" xfId="8" applyFont="1" applyBorder="1" applyAlignment="1">
      <alignment horizontal="center"/>
    </xf>
    <xf numFmtId="0" fontId="11" fillId="0" borderId="11" xfId="8" applyFont="1" applyBorder="1" applyAlignment="1">
      <alignment horizontal="center"/>
    </xf>
    <xf numFmtId="0" fontId="11" fillId="0" borderId="26" xfId="8" applyFont="1" applyBorder="1" applyAlignment="1">
      <alignment horizontal="center"/>
    </xf>
    <xf numFmtId="1" fontId="11" fillId="7" borderId="4" xfId="8" applyNumberFormat="1" applyFont="1" applyFill="1" applyBorder="1" applyAlignment="1">
      <alignment horizontal="center"/>
    </xf>
    <xf numFmtId="1" fontId="11" fillId="7" borderId="36" xfId="8" applyNumberFormat="1" applyFont="1" applyFill="1" applyBorder="1" applyAlignment="1">
      <alignment horizontal="center"/>
    </xf>
    <xf numFmtId="1" fontId="11" fillId="7" borderId="14" xfId="8" applyNumberFormat="1" applyFont="1" applyFill="1" applyBorder="1" applyAlignment="1">
      <alignment horizontal="center"/>
    </xf>
    <xf numFmtId="1" fontId="11" fillId="7" borderId="29" xfId="8" applyNumberFormat="1" applyFont="1" applyFill="1" applyBorder="1" applyAlignment="1">
      <alignment horizontal="center"/>
    </xf>
    <xf numFmtId="1" fontId="11" fillId="7" borderId="62" xfId="8" applyNumberFormat="1" applyFont="1" applyFill="1" applyBorder="1" applyAlignment="1">
      <alignment horizontal="center"/>
    </xf>
    <xf numFmtId="1" fontId="11" fillId="7" borderId="63" xfId="8" applyNumberFormat="1" applyFont="1" applyFill="1" applyBorder="1" applyAlignment="1">
      <alignment horizontal="center"/>
    </xf>
    <xf numFmtId="1" fontId="11" fillId="7" borderId="15" xfId="8" applyNumberFormat="1" applyFont="1" applyFill="1" applyBorder="1" applyAlignment="1">
      <alignment horizontal="center"/>
    </xf>
    <xf numFmtId="1" fontId="11" fillId="7" borderId="16" xfId="8" applyNumberFormat="1" applyFont="1" applyFill="1" applyBorder="1" applyAlignment="1">
      <alignment horizontal="center"/>
    </xf>
    <xf numFmtId="1" fontId="11" fillId="7" borderId="18" xfId="8" applyNumberFormat="1" applyFont="1" applyFill="1" applyBorder="1" applyAlignment="1">
      <alignment horizontal="center"/>
    </xf>
    <xf numFmtId="167" fontId="10" fillId="8" borderId="77" xfId="0" applyNumberFormat="1" applyFont="1" applyFill="1" applyBorder="1" applyAlignment="1">
      <alignment horizontal="center"/>
    </xf>
    <xf numFmtId="167" fontId="10" fillId="8" borderId="19" xfId="0" applyNumberFormat="1" applyFont="1" applyFill="1" applyBorder="1" applyAlignment="1">
      <alignment horizontal="center"/>
    </xf>
    <xf numFmtId="0" fontId="35" fillId="9" borderId="37" xfId="0" applyFont="1" applyFill="1" applyBorder="1" applyAlignment="1">
      <alignment horizontal="center" vertical="top" wrapText="1"/>
    </xf>
    <xf numFmtId="165" fontId="10" fillId="9" borderId="39" xfId="0" applyNumberFormat="1" applyFont="1" applyFill="1" applyBorder="1" applyAlignment="1">
      <alignment horizontal="center" vertical="center"/>
    </xf>
    <xf numFmtId="0" fontId="10" fillId="9" borderId="35" xfId="0" applyFont="1" applyFill="1" applyBorder="1" applyAlignment="1">
      <alignment horizontal="center" vertical="center"/>
    </xf>
    <xf numFmtId="0" fontId="10" fillId="9" borderId="48" xfId="0" applyFont="1" applyFill="1" applyBorder="1" applyAlignment="1">
      <alignment horizontal="center" vertical="center"/>
    </xf>
    <xf numFmtId="0" fontId="10" fillId="9" borderId="9" xfId="0" applyFont="1" applyFill="1" applyBorder="1" applyAlignment="1">
      <alignment horizontal="center" vertical="center"/>
    </xf>
    <xf numFmtId="0" fontId="10" fillId="9" borderId="38" xfId="0" applyFont="1" applyFill="1" applyBorder="1" applyAlignment="1">
      <alignment horizontal="center" vertical="center"/>
    </xf>
    <xf numFmtId="0" fontId="10" fillId="9" borderId="10" xfId="0" applyFont="1" applyFill="1" applyBorder="1" applyAlignment="1">
      <alignment horizontal="center" vertical="center"/>
    </xf>
    <xf numFmtId="0" fontId="11" fillId="0" borderId="78" xfId="0" applyFont="1" applyBorder="1" applyAlignment="1">
      <alignment horizontal="center" vertical="center"/>
    </xf>
    <xf numFmtId="0" fontId="11" fillId="0" borderId="81" xfId="0" applyFont="1" applyBorder="1" applyAlignment="1">
      <alignment horizontal="center" vertical="center"/>
    </xf>
    <xf numFmtId="167" fontId="10" fillId="7" borderId="15" xfId="0" applyNumberFormat="1" applyFont="1" applyFill="1" applyBorder="1" applyAlignment="1">
      <alignment horizontal="center"/>
    </xf>
    <xf numFmtId="167" fontId="10" fillId="7" borderId="35" xfId="0" applyNumberFormat="1" applyFont="1" applyFill="1" applyBorder="1" applyAlignment="1">
      <alignment horizontal="center"/>
    </xf>
    <xf numFmtId="0" fontId="22" fillId="0" borderId="39" xfId="0" applyFont="1" applyBorder="1" applyAlignment="1">
      <alignment horizontal="center"/>
    </xf>
    <xf numFmtId="0" fontId="22" fillId="0" borderId="42" xfId="0" applyFont="1" applyBorder="1" applyAlignment="1">
      <alignment horizontal="center"/>
    </xf>
    <xf numFmtId="0" fontId="22" fillId="0" borderId="43" xfId="0" applyFont="1" applyBorder="1" applyAlignment="1">
      <alignment horizontal="center"/>
    </xf>
    <xf numFmtId="0" fontId="10" fillId="0" borderId="42" xfId="0" applyFont="1" applyBorder="1" applyAlignment="1">
      <alignment horizontal="center"/>
    </xf>
    <xf numFmtId="0" fontId="11" fillId="0" borderId="43" xfId="0" applyFont="1" applyBorder="1" applyAlignment="1">
      <alignment horizontal="center"/>
    </xf>
    <xf numFmtId="164" fontId="10" fillId="7" borderId="27" xfId="0" applyNumberFormat="1" applyFont="1" applyFill="1" applyBorder="1" applyAlignment="1">
      <alignment horizontal="center"/>
    </xf>
    <xf numFmtId="1" fontId="11" fillId="7" borderId="23" xfId="8" applyNumberFormat="1" applyFont="1" applyFill="1" applyBorder="1" applyAlignment="1">
      <alignment horizontal="center"/>
    </xf>
    <xf numFmtId="1" fontId="10" fillId="7" borderId="27" xfId="0" applyNumberFormat="1" applyFont="1" applyFill="1" applyBorder="1" applyAlignment="1">
      <alignment horizontal="center"/>
    </xf>
    <xf numFmtId="1" fontId="10" fillId="7" borderId="1" xfId="0" applyNumberFormat="1" applyFont="1" applyFill="1" applyBorder="1" applyAlignment="1">
      <alignment horizontal="center"/>
    </xf>
    <xf numFmtId="1" fontId="12" fillId="7" borderId="1" xfId="0" applyNumberFormat="1" applyFont="1" applyFill="1" applyBorder="1"/>
    <xf numFmtId="1" fontId="10" fillId="7" borderId="17" xfId="0" applyNumberFormat="1" applyFont="1" applyFill="1" applyBorder="1" applyAlignment="1">
      <alignment horizontal="center"/>
    </xf>
    <xf numFmtId="164" fontId="10" fillId="7" borderId="15" xfId="0" applyNumberFormat="1" applyFont="1" applyFill="1" applyBorder="1" applyAlignment="1">
      <alignment horizontal="center" vertical="center"/>
    </xf>
    <xf numFmtId="164" fontId="10" fillId="7" borderId="14" xfId="0" applyNumberFormat="1" applyFont="1" applyFill="1" applyBorder="1" applyAlignment="1">
      <alignment horizontal="center" vertical="center"/>
    </xf>
    <xf numFmtId="164" fontId="10" fillId="7" borderId="16" xfId="0" applyNumberFormat="1" applyFont="1" applyFill="1" applyBorder="1" applyAlignment="1">
      <alignment horizontal="center" vertical="center"/>
    </xf>
    <xf numFmtId="0" fontId="11" fillId="9" borderId="66" xfId="0" applyFont="1" applyFill="1" applyBorder="1" applyAlignment="1">
      <alignment horizontal="center" vertical="center"/>
    </xf>
    <xf numFmtId="2" fontId="11" fillId="0" borderId="0" xfId="0" applyNumberFormat="1" applyFont="1" applyAlignment="1">
      <alignment horizontal="center" vertical="center"/>
    </xf>
    <xf numFmtId="2" fontId="12" fillId="0" borderId="0" xfId="0" applyNumberFormat="1" applyFont="1" applyAlignment="1">
      <alignment horizontal="center" vertical="center"/>
    </xf>
    <xf numFmtId="0" fontId="11" fillId="7" borderId="69" xfId="0" applyFont="1" applyFill="1" applyBorder="1" applyAlignment="1">
      <alignment horizontal="center"/>
    </xf>
    <xf numFmtId="0" fontId="11" fillId="7" borderId="35" xfId="0" applyFont="1" applyFill="1" applyBorder="1" applyAlignment="1">
      <alignment horizontal="center"/>
    </xf>
    <xf numFmtId="0" fontId="11" fillId="7" borderId="25" xfId="0" applyFont="1" applyFill="1" applyBorder="1" applyAlignment="1">
      <alignment horizontal="center"/>
    </xf>
    <xf numFmtId="0" fontId="11" fillId="7" borderId="13" xfId="0" applyFont="1" applyFill="1" applyBorder="1" applyAlignment="1">
      <alignment horizontal="center"/>
    </xf>
    <xf numFmtId="0" fontId="11" fillId="7" borderId="67" xfId="0" applyFont="1" applyFill="1" applyBorder="1" applyAlignment="1">
      <alignment horizontal="center"/>
    </xf>
    <xf numFmtId="0" fontId="11" fillId="7" borderId="23" xfId="0" applyFont="1" applyFill="1" applyBorder="1" applyAlignment="1">
      <alignment horizontal="center"/>
    </xf>
    <xf numFmtId="0" fontId="11" fillId="7" borderId="39" xfId="0" applyFont="1" applyFill="1" applyBorder="1" applyAlignment="1">
      <alignment horizontal="left" indent="1"/>
    </xf>
    <xf numFmtId="0" fontId="11" fillId="7" borderId="42" xfId="0" applyFont="1" applyFill="1" applyBorder="1" applyAlignment="1">
      <alignment horizontal="left" indent="1"/>
    </xf>
    <xf numFmtId="0" fontId="11" fillId="7" borderId="43" xfId="0" applyFont="1" applyFill="1" applyBorder="1" applyAlignment="1">
      <alignment horizontal="left" indent="1"/>
    </xf>
    <xf numFmtId="1" fontId="10" fillId="8" borderId="27" xfId="0" applyNumberFormat="1" applyFont="1" applyFill="1" applyBorder="1" applyAlignment="1">
      <alignment horizontal="center"/>
    </xf>
    <xf numFmtId="1" fontId="10" fillId="8" borderId="1" xfId="0" applyNumberFormat="1" applyFont="1" applyFill="1" applyBorder="1" applyAlignment="1">
      <alignment horizontal="center"/>
    </xf>
    <xf numFmtId="1" fontId="10" fillId="8" borderId="17" xfId="0" applyNumberFormat="1" applyFont="1" applyFill="1" applyBorder="1" applyAlignment="1">
      <alignment horizontal="center"/>
    </xf>
    <xf numFmtId="1" fontId="10" fillId="8" borderId="18" xfId="0" applyNumberFormat="1" applyFont="1" applyFill="1" applyBorder="1" applyAlignment="1">
      <alignment horizontal="center"/>
    </xf>
    <xf numFmtId="1" fontId="10" fillId="8" borderId="77" xfId="0" applyNumberFormat="1" applyFont="1" applyFill="1" applyBorder="1" applyAlignment="1">
      <alignment horizontal="center"/>
    </xf>
    <xf numFmtId="1" fontId="10" fillId="8" borderId="19" xfId="0" applyNumberFormat="1" applyFont="1" applyFill="1" applyBorder="1" applyAlignment="1">
      <alignment horizontal="center"/>
    </xf>
    <xf numFmtId="4" fontId="11" fillId="7" borderId="76" xfId="0" applyNumberFormat="1" applyFont="1" applyFill="1" applyBorder="1" applyAlignment="1">
      <alignment horizontal="center"/>
    </xf>
    <xf numFmtId="2" fontId="10" fillId="0" borderId="9" xfId="0" applyNumberFormat="1" applyFont="1" applyBorder="1" applyAlignment="1">
      <alignment horizontal="center" vertical="center"/>
    </xf>
    <xf numFmtId="0" fontId="12" fillId="0" borderId="36" xfId="0" applyFont="1" applyBorder="1" applyAlignment="1">
      <alignment horizontal="left" vertical="top" wrapText="1"/>
    </xf>
    <xf numFmtId="0" fontId="12" fillId="0" borderId="32" xfId="0" applyFont="1" applyBorder="1" applyAlignment="1">
      <alignment wrapText="1"/>
    </xf>
    <xf numFmtId="0" fontId="13" fillId="0" borderId="4" xfId="0" applyFont="1" applyBorder="1"/>
    <xf numFmtId="0" fontId="12" fillId="0" borderId="45" xfId="0" applyFont="1" applyBorder="1"/>
    <xf numFmtId="0" fontId="12" fillId="0" borderId="45" xfId="0" applyFont="1" applyBorder="1" applyAlignment="1">
      <alignment horizontal="center"/>
    </xf>
    <xf numFmtId="0" fontId="20" fillId="0" borderId="0" xfId="0" applyFont="1"/>
    <xf numFmtId="0" fontId="20" fillId="0" borderId="0" xfId="0" applyFont="1" applyAlignment="1">
      <alignment horizontal="center"/>
    </xf>
    <xf numFmtId="0" fontId="52" fillId="0" borderId="0" xfId="0" applyFont="1" applyAlignment="1">
      <alignment horizontal="center"/>
    </xf>
    <xf numFmtId="0" fontId="52" fillId="0" borderId="0" xfId="0" applyFont="1"/>
    <xf numFmtId="0" fontId="17" fillId="0" borderId="0" xfId="0" applyFont="1" applyAlignment="1">
      <alignment horizontal="center"/>
    </xf>
    <xf numFmtId="0" fontId="20" fillId="0" borderId="45" xfId="0" applyFont="1" applyBorder="1" applyAlignment="1">
      <alignment vertical="top" wrapText="1"/>
    </xf>
    <xf numFmtId="0" fontId="17" fillId="0" borderId="0" xfId="0" applyFont="1" applyAlignment="1">
      <alignment horizontal="center" vertical="center"/>
    </xf>
    <xf numFmtId="0" fontId="13" fillId="0" borderId="45" xfId="0" applyFont="1" applyBorder="1" applyAlignment="1">
      <alignment horizontal="center"/>
    </xf>
    <xf numFmtId="165" fontId="11" fillId="9" borderId="76" xfId="0" applyNumberFormat="1" applyFont="1" applyFill="1" applyBorder="1" applyAlignment="1">
      <alignment horizontal="center"/>
    </xf>
    <xf numFmtId="0" fontId="14" fillId="0" borderId="0" xfId="0" applyFont="1" applyAlignment="1">
      <alignment horizontal="left"/>
    </xf>
    <xf numFmtId="0" fontId="12" fillId="0" borderId="0" xfId="0" applyFont="1" applyAlignment="1">
      <alignment horizontal="left"/>
    </xf>
    <xf numFmtId="0" fontId="17" fillId="0" borderId="0" xfId="0" applyFont="1" applyAlignment="1">
      <alignment horizontal="left"/>
    </xf>
    <xf numFmtId="0" fontId="12" fillId="0" borderId="0" xfId="0" applyFont="1" applyAlignment="1">
      <alignment horizontal="left" vertical="top"/>
    </xf>
    <xf numFmtId="17" fontId="11" fillId="0" borderId="78" xfId="0" applyNumberFormat="1" applyFont="1" applyBorder="1" applyAlignment="1">
      <alignment horizontal="center" vertical="center"/>
    </xf>
    <xf numFmtId="0" fontId="39" fillId="0" borderId="0" xfId="0" applyFont="1"/>
    <xf numFmtId="0" fontId="11" fillId="0" borderId="12" xfId="8" applyFont="1" applyBorder="1" applyAlignment="1">
      <alignment horizontal="center" vertical="top" wrapText="1"/>
    </xf>
    <xf numFmtId="0" fontId="11" fillId="0" borderId="8" xfId="0" applyFont="1" applyBorder="1" applyAlignment="1">
      <alignment horizontal="center"/>
    </xf>
    <xf numFmtId="0" fontId="17" fillId="0" borderId="61" xfId="0" applyFont="1" applyBorder="1"/>
    <xf numFmtId="0" fontId="12" fillId="0" borderId="47" xfId="0" applyFont="1" applyBorder="1"/>
    <xf numFmtId="0" fontId="11" fillId="0" borderId="83" xfId="0" applyFont="1" applyBorder="1" applyAlignment="1">
      <alignment horizontal="center"/>
    </xf>
    <xf numFmtId="0" fontId="22" fillId="0" borderId="83" xfId="0" applyFont="1" applyBorder="1" applyAlignment="1">
      <alignment horizontal="center"/>
    </xf>
    <xf numFmtId="0" fontId="10" fillId="0" borderId="83" xfId="0" applyFont="1" applyBorder="1" applyAlignment="1">
      <alignment horizontal="center" vertical="center"/>
    </xf>
    <xf numFmtId="1" fontId="11" fillId="7" borderId="79" xfId="8" applyNumberFormat="1" applyFont="1" applyFill="1" applyBorder="1" applyAlignment="1">
      <alignment horizontal="center"/>
    </xf>
    <xf numFmtId="164" fontId="10" fillId="7" borderId="27" xfId="0" applyNumberFormat="1" applyFont="1" applyFill="1" applyBorder="1" applyAlignment="1">
      <alignment horizontal="center" vertical="center"/>
    </xf>
    <xf numFmtId="164" fontId="10" fillId="7" borderId="1" xfId="0" applyNumberFormat="1" applyFont="1" applyFill="1" applyBorder="1" applyAlignment="1">
      <alignment horizontal="center" vertical="center"/>
    </xf>
    <xf numFmtId="164" fontId="10" fillId="7" borderId="17" xfId="0" applyNumberFormat="1" applyFont="1" applyFill="1" applyBorder="1" applyAlignment="1">
      <alignment horizontal="center" vertical="center"/>
    </xf>
    <xf numFmtId="0" fontId="22" fillId="0" borderId="86" xfId="0" applyFont="1" applyBorder="1" applyAlignment="1">
      <alignment horizontal="center"/>
    </xf>
    <xf numFmtId="0" fontId="13" fillId="0" borderId="5" xfId="0" applyFont="1" applyBorder="1"/>
    <xf numFmtId="0" fontId="12" fillId="0" borderId="36" xfId="0" applyFont="1" applyBorder="1"/>
    <xf numFmtId="0" fontId="12" fillId="0" borderId="2" xfId="0" applyFont="1" applyBorder="1"/>
    <xf numFmtId="0" fontId="12" fillId="0" borderId="32" xfId="0" applyFont="1" applyBorder="1"/>
    <xf numFmtId="0" fontId="13" fillId="0" borderId="85" xfId="0" applyFont="1" applyBorder="1" applyAlignment="1">
      <alignment horizontal="left"/>
    </xf>
    <xf numFmtId="0" fontId="12" fillId="0" borderId="87" xfId="0" applyFont="1" applyBorder="1" applyAlignment="1">
      <alignment horizontal="center"/>
    </xf>
    <xf numFmtId="0" fontId="12" fillId="0" borderId="87" xfId="0" applyFont="1" applyBorder="1" applyAlignment="1">
      <alignment horizontal="left"/>
    </xf>
    <xf numFmtId="0" fontId="12" fillId="0" borderId="87" xfId="0" applyFont="1" applyBorder="1"/>
    <xf numFmtId="0" fontId="11" fillId="0" borderId="87" xfId="0" applyFont="1" applyBorder="1"/>
    <xf numFmtId="0" fontId="11" fillId="0" borderId="88" xfId="0" applyFont="1" applyBorder="1"/>
    <xf numFmtId="0" fontId="17" fillId="0" borderId="89" xfId="0" applyFont="1" applyBorder="1" applyAlignment="1">
      <alignment horizontal="left"/>
    </xf>
    <xf numFmtId="0" fontId="11" fillId="0" borderId="84" xfId="0" applyFont="1" applyBorder="1"/>
    <xf numFmtId="0" fontId="39" fillId="0" borderId="84" xfId="0" applyFont="1" applyBorder="1"/>
    <xf numFmtId="0" fontId="39" fillId="0" borderId="92" xfId="0" applyFont="1" applyBorder="1"/>
    <xf numFmtId="0" fontId="10" fillId="9" borderId="42" xfId="0" applyFont="1" applyFill="1" applyBorder="1" applyAlignment="1">
      <alignment horizontal="center" vertical="center"/>
    </xf>
    <xf numFmtId="0" fontId="31" fillId="0" borderId="12" xfId="0" applyFont="1" applyBorder="1" applyAlignment="1">
      <alignment horizontal="center" vertical="center"/>
    </xf>
    <xf numFmtId="0" fontId="11" fillId="0" borderId="31" xfId="0" applyFont="1" applyBorder="1" applyAlignment="1">
      <alignment horizontal="center" vertical="center"/>
    </xf>
    <xf numFmtId="165" fontId="10" fillId="8" borderId="10" xfId="0" applyNumberFormat="1" applyFont="1" applyFill="1" applyBorder="1" applyAlignment="1">
      <alignment horizontal="center" vertical="center"/>
    </xf>
    <xf numFmtId="0" fontId="12" fillId="0" borderId="31" xfId="0" applyFont="1" applyBorder="1"/>
    <xf numFmtId="3" fontId="10" fillId="7" borderId="9" xfId="0" applyNumberFormat="1" applyFont="1" applyFill="1" applyBorder="1" applyAlignment="1">
      <alignment horizontal="center" vertical="center"/>
    </xf>
    <xf numFmtId="4" fontId="10" fillId="8" borderId="10" xfId="0" applyNumberFormat="1" applyFont="1" applyFill="1" applyBorder="1" applyAlignment="1">
      <alignment horizontal="center" vertical="center" wrapText="1"/>
    </xf>
    <xf numFmtId="0" fontId="22" fillId="0" borderId="9" xfId="0" applyFont="1" applyBorder="1" applyAlignment="1">
      <alignment horizontal="left" vertical="center"/>
    </xf>
    <xf numFmtId="4" fontId="10" fillId="7" borderId="10" xfId="0" applyNumberFormat="1" applyFont="1" applyFill="1" applyBorder="1" applyAlignment="1">
      <alignment horizontal="center" vertical="center" wrapText="1"/>
    </xf>
    <xf numFmtId="0" fontId="11" fillId="7" borderId="8" xfId="0" applyFont="1" applyFill="1" applyBorder="1" applyAlignment="1">
      <alignment horizontal="left"/>
    </xf>
    <xf numFmtId="2" fontId="11" fillId="7" borderId="8" xfId="0" applyNumberFormat="1" applyFont="1" applyFill="1" applyBorder="1" applyAlignment="1">
      <alignment horizontal="center" vertical="center"/>
    </xf>
    <xf numFmtId="0" fontId="10" fillId="7" borderId="26" xfId="0" applyFont="1" applyFill="1" applyBorder="1" applyAlignment="1">
      <alignment horizontal="left"/>
    </xf>
    <xf numFmtId="2" fontId="11" fillId="7" borderId="26" xfId="0" applyNumberFormat="1" applyFont="1" applyFill="1" applyBorder="1" applyAlignment="1">
      <alignment horizontal="center" vertical="center"/>
    </xf>
    <xf numFmtId="2" fontId="11" fillId="12" borderId="9" xfId="0" applyNumberFormat="1" applyFont="1" applyFill="1" applyBorder="1" applyAlignment="1">
      <alignment horizontal="center" vertical="center"/>
    </xf>
    <xf numFmtId="0" fontId="11" fillId="7" borderId="8" xfId="0" applyFont="1" applyFill="1" applyBorder="1" applyAlignment="1">
      <alignment wrapText="1"/>
    </xf>
    <xf numFmtId="2" fontId="11" fillId="11" borderId="9" xfId="0" applyNumberFormat="1" applyFont="1" applyFill="1" applyBorder="1" applyAlignment="1">
      <alignment horizontal="center" vertical="center"/>
    </xf>
    <xf numFmtId="0" fontId="11" fillId="11" borderId="9" xfId="0" applyFont="1" applyFill="1" applyBorder="1" applyAlignment="1">
      <alignment horizontal="left"/>
    </xf>
    <xf numFmtId="2" fontId="11" fillId="11" borderId="38" xfId="0" applyNumberFormat="1" applyFont="1" applyFill="1" applyBorder="1" applyAlignment="1">
      <alignment horizontal="center" vertical="center"/>
    </xf>
    <xf numFmtId="0" fontId="10" fillId="11" borderId="9" xfId="0" applyFont="1" applyFill="1" applyBorder="1" applyAlignment="1">
      <alignment horizontal="left"/>
    </xf>
    <xf numFmtId="0" fontId="11" fillId="11" borderId="9" xfId="0" applyFont="1" applyFill="1" applyBorder="1"/>
    <xf numFmtId="0" fontId="10" fillId="11" borderId="66" xfId="0" applyFont="1" applyFill="1" applyBorder="1"/>
    <xf numFmtId="2" fontId="10" fillId="11" borderId="9" xfId="0" applyNumberFormat="1" applyFont="1" applyFill="1" applyBorder="1" applyAlignment="1">
      <alignment horizontal="center" vertical="center"/>
    </xf>
    <xf numFmtId="2" fontId="11" fillId="11" borderId="31" xfId="0" applyNumberFormat="1" applyFont="1" applyFill="1" applyBorder="1" applyAlignment="1">
      <alignment horizontal="center" vertical="center"/>
    </xf>
    <xf numFmtId="0" fontId="11" fillId="12" borderId="8" xfId="0" applyFont="1" applyFill="1" applyBorder="1"/>
    <xf numFmtId="2" fontId="11" fillId="12" borderId="8" xfId="0" applyNumberFormat="1" applyFont="1" applyFill="1" applyBorder="1" applyAlignment="1">
      <alignment horizontal="center" vertical="center"/>
    </xf>
    <xf numFmtId="2" fontId="11" fillId="12" borderId="35" xfId="0" applyNumberFormat="1" applyFont="1" applyFill="1" applyBorder="1" applyAlignment="1">
      <alignment horizontal="center" vertical="center"/>
    </xf>
    <xf numFmtId="0" fontId="10" fillId="12" borderId="9" xfId="0" applyFont="1" applyFill="1" applyBorder="1"/>
    <xf numFmtId="2" fontId="11" fillId="12" borderId="9" xfId="0" applyNumberFormat="1" applyFont="1" applyFill="1" applyBorder="1" applyAlignment="1">
      <alignment horizontal="center" vertical="center" wrapText="1"/>
    </xf>
    <xf numFmtId="2" fontId="11" fillId="12" borderId="13" xfId="0" applyNumberFormat="1" applyFont="1" applyFill="1" applyBorder="1" applyAlignment="1">
      <alignment horizontal="center" vertical="center" wrapText="1"/>
    </xf>
    <xf numFmtId="0" fontId="11" fillId="12" borderId="12" xfId="0" applyFont="1" applyFill="1" applyBorder="1"/>
    <xf numFmtId="2" fontId="11" fillId="12" borderId="12" xfId="0" applyNumberFormat="1" applyFont="1" applyFill="1" applyBorder="1" applyAlignment="1">
      <alignment horizontal="center" vertical="center" wrapText="1"/>
    </xf>
    <xf numFmtId="2" fontId="11" fillId="12" borderId="64" xfId="0" applyNumberFormat="1" applyFont="1" applyFill="1" applyBorder="1" applyAlignment="1">
      <alignment horizontal="center" vertical="center" wrapText="1"/>
    </xf>
    <xf numFmtId="2" fontId="11" fillId="12" borderId="64" xfId="0" quotePrefix="1" applyNumberFormat="1" applyFont="1" applyFill="1" applyBorder="1" applyAlignment="1">
      <alignment horizontal="center" vertical="center" wrapText="1"/>
    </xf>
    <xf numFmtId="0" fontId="10" fillId="11" borderId="38" xfId="0" applyFont="1" applyFill="1" applyBorder="1" applyAlignment="1">
      <alignment vertical="center"/>
    </xf>
    <xf numFmtId="2" fontId="10" fillId="11" borderId="38" xfId="0" applyNumberFormat="1" applyFont="1" applyFill="1" applyBorder="1" applyAlignment="1">
      <alignment horizontal="center" vertical="center"/>
    </xf>
    <xf numFmtId="0" fontId="11" fillId="12" borderId="9" xfId="0" applyFont="1" applyFill="1" applyBorder="1" applyAlignment="1">
      <alignment vertical="center" wrapText="1"/>
    </xf>
    <xf numFmtId="4" fontId="22" fillId="8" borderId="28" xfId="0" applyNumberFormat="1" applyFont="1" applyFill="1" applyBorder="1" applyAlignment="1">
      <alignment horizontal="center"/>
    </xf>
    <xf numFmtId="0" fontId="31" fillId="13" borderId="28" xfId="0" applyFont="1" applyFill="1" applyBorder="1" applyAlignment="1">
      <alignment vertical="center"/>
    </xf>
    <xf numFmtId="2" fontId="31" fillId="13" borderId="28" xfId="0" applyNumberFormat="1" applyFont="1" applyFill="1" applyBorder="1" applyAlignment="1">
      <alignment horizontal="center" vertical="center"/>
    </xf>
    <xf numFmtId="2" fontId="31" fillId="13" borderId="83" xfId="0" applyNumberFormat="1" applyFont="1" applyFill="1" applyBorder="1" applyAlignment="1">
      <alignment horizontal="left" vertical="center"/>
    </xf>
    <xf numFmtId="2" fontId="31" fillId="13" borderId="83" xfId="0" applyNumberFormat="1" applyFont="1" applyFill="1" applyBorder="1" applyAlignment="1">
      <alignment horizontal="center" vertical="center"/>
    </xf>
    <xf numFmtId="2" fontId="31" fillId="13" borderId="86" xfId="0" applyNumberFormat="1" applyFont="1" applyFill="1" applyBorder="1" applyAlignment="1">
      <alignment horizontal="left" vertical="center"/>
    </xf>
    <xf numFmtId="165" fontId="31" fillId="13" borderId="83" xfId="0" applyNumberFormat="1" applyFont="1" applyFill="1" applyBorder="1" applyAlignment="1">
      <alignment horizontal="center" vertical="center"/>
    </xf>
    <xf numFmtId="2" fontId="31" fillId="13" borderId="65" xfId="0" applyNumberFormat="1" applyFont="1" applyFill="1" applyBorder="1" applyAlignment="1">
      <alignment horizontal="left" vertical="center"/>
    </xf>
    <xf numFmtId="2" fontId="31" fillId="13" borderId="71" xfId="0" applyNumberFormat="1" applyFont="1" applyFill="1" applyBorder="1" applyAlignment="1">
      <alignment horizontal="center" vertical="center"/>
    </xf>
    <xf numFmtId="0" fontId="12" fillId="0" borderId="12" xfId="0" applyFont="1" applyBorder="1" applyAlignment="1">
      <alignment horizontal="center" vertical="center"/>
    </xf>
    <xf numFmtId="0" fontId="18" fillId="0" borderId="3" xfId="0" applyFont="1" applyBorder="1" applyAlignment="1">
      <alignment horizontal="left" vertical="top" wrapText="1"/>
    </xf>
    <xf numFmtId="0" fontId="12" fillId="0" borderId="0" xfId="0" applyFont="1" applyAlignment="1">
      <alignment vertical="top" wrapText="1"/>
    </xf>
    <xf numFmtId="0" fontId="12" fillId="0" borderId="90" xfId="0" applyFont="1" applyBorder="1"/>
    <xf numFmtId="0" fontId="12" fillId="0" borderId="91" xfId="0" applyFont="1" applyBorder="1"/>
    <xf numFmtId="0" fontId="4" fillId="0" borderId="6" xfId="1" applyBorder="1" applyAlignment="1">
      <alignment vertical="top"/>
    </xf>
    <xf numFmtId="0" fontId="4" fillId="0" borderId="1" xfId="1" applyBorder="1" applyAlignment="1">
      <alignment horizontal="left" vertical="top"/>
    </xf>
    <xf numFmtId="0" fontId="14" fillId="0" borderId="0" xfId="0" applyFont="1" applyAlignment="1">
      <alignment horizontal="center" vertical="top"/>
    </xf>
    <xf numFmtId="0" fontId="11" fillId="0" borderId="0" xfId="0" applyFont="1" applyAlignment="1">
      <alignment horizontal="center" vertical="top"/>
    </xf>
    <xf numFmtId="0" fontId="12" fillId="0" borderId="0" xfId="0" applyFont="1" applyAlignment="1">
      <alignment vertical="top"/>
    </xf>
    <xf numFmtId="165" fontId="39" fillId="0" borderId="1" xfId="0" applyNumberFormat="1" applyFont="1" applyBorder="1" applyAlignment="1">
      <alignment horizontal="center"/>
    </xf>
    <xf numFmtId="166" fontId="39" fillId="0" borderId="1" xfId="0" applyNumberFormat="1" applyFont="1" applyBorder="1" applyAlignment="1">
      <alignment horizontal="center"/>
    </xf>
    <xf numFmtId="165" fontId="39" fillId="0" borderId="7" xfId="0" applyNumberFormat="1" applyFont="1" applyBorder="1" applyAlignment="1">
      <alignment horizontal="center"/>
    </xf>
    <xf numFmtId="2" fontId="39" fillId="0" borderId="1" xfId="0" applyNumberFormat="1" applyFont="1" applyBorder="1" applyAlignment="1">
      <alignment horizontal="center"/>
    </xf>
    <xf numFmtId="0" fontId="31" fillId="0" borderId="35" xfId="0" applyFont="1" applyBorder="1" applyAlignment="1">
      <alignment horizontal="center" vertical="center"/>
    </xf>
    <xf numFmtId="0" fontId="22" fillId="0" borderId="64"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center"/>
    </xf>
    <xf numFmtId="0" fontId="22" fillId="0" borderId="35" xfId="0" applyFont="1" applyBorder="1" applyAlignment="1">
      <alignment horizontal="center" vertical="center"/>
    </xf>
    <xf numFmtId="0" fontId="22" fillId="0" borderId="72" xfId="0" applyFont="1" applyBorder="1" applyAlignment="1">
      <alignment horizontal="center" vertical="center"/>
    </xf>
    <xf numFmtId="0" fontId="11" fillId="0" borderId="13" xfId="0" applyFont="1" applyBorder="1" applyAlignment="1">
      <alignment horizontal="center"/>
    </xf>
    <xf numFmtId="0" fontId="11" fillId="0" borderId="33" xfId="0" applyFont="1" applyBorder="1" applyAlignment="1">
      <alignment vertical="center"/>
    </xf>
    <xf numFmtId="0" fontId="11" fillId="0" borderId="9" xfId="0" applyFont="1" applyBorder="1" applyAlignment="1">
      <alignment horizontal="center" vertical="center"/>
    </xf>
    <xf numFmtId="2" fontId="27" fillId="8" borderId="1" xfId="0" applyNumberFormat="1" applyFont="1" applyFill="1" applyBorder="1" applyAlignment="1">
      <alignment horizontal="center"/>
    </xf>
    <xf numFmtId="4" fontId="11" fillId="7" borderId="9" xfId="0" applyNumberFormat="1" applyFont="1" applyFill="1" applyBorder="1" applyAlignment="1">
      <alignment horizontal="center"/>
    </xf>
    <xf numFmtId="4" fontId="11" fillId="7" borderId="38" xfId="0" applyNumberFormat="1" applyFont="1" applyFill="1" applyBorder="1" applyAlignment="1">
      <alignment horizontal="center"/>
    </xf>
    <xf numFmtId="0" fontId="11" fillId="0" borderId="28" xfId="0" applyFont="1" applyBorder="1"/>
    <xf numFmtId="167" fontId="31" fillId="0" borderId="39" xfId="0" applyNumberFormat="1" applyFont="1" applyBorder="1" applyAlignment="1">
      <alignment horizontal="center" vertical="center" wrapText="1"/>
    </xf>
    <xf numFmtId="4" fontId="11" fillId="7" borderId="42" xfId="0" applyNumberFormat="1" applyFont="1" applyFill="1" applyBorder="1" applyAlignment="1">
      <alignment horizontal="center"/>
    </xf>
    <xf numFmtId="2" fontId="11" fillId="8" borderId="9" xfId="0" applyNumberFormat="1" applyFont="1" applyFill="1" applyBorder="1" applyAlignment="1">
      <alignment horizontal="center"/>
    </xf>
    <xf numFmtId="2" fontId="11" fillId="8" borderId="10" xfId="0" applyNumberFormat="1" applyFont="1" applyFill="1" applyBorder="1" applyAlignment="1">
      <alignment horizontal="center"/>
    </xf>
    <xf numFmtId="0" fontId="20" fillId="0" borderId="0" xfId="0" applyFont="1" applyAlignment="1">
      <alignment vertical="top"/>
    </xf>
    <xf numFmtId="0" fontId="20" fillId="0" borderId="0" xfId="0" applyFont="1" applyAlignment="1">
      <alignment vertical="top" wrapText="1"/>
    </xf>
    <xf numFmtId="0" fontId="20" fillId="0" borderId="61" xfId="0" applyFont="1" applyBorder="1" applyAlignment="1">
      <alignment vertical="top"/>
    </xf>
    <xf numFmtId="2" fontId="11" fillId="8" borderId="38" xfId="0" applyNumberFormat="1" applyFont="1" applyFill="1" applyBorder="1" applyAlignment="1">
      <alignment horizontal="center"/>
    </xf>
    <xf numFmtId="0" fontId="44" fillId="0" borderId="0" xfId="0" applyFont="1" applyAlignment="1">
      <alignment horizontal="left" vertical="top" wrapText="1"/>
    </xf>
    <xf numFmtId="1" fontId="11" fillId="7" borderId="77" xfId="8" applyNumberFormat="1" applyFont="1" applyFill="1" applyBorder="1" applyAlignment="1">
      <alignment horizontal="center"/>
    </xf>
    <xf numFmtId="1" fontId="11" fillId="7" borderId="19" xfId="8" applyNumberFormat="1" applyFont="1" applyFill="1" applyBorder="1" applyAlignment="1">
      <alignment horizontal="center"/>
    </xf>
    <xf numFmtId="1" fontId="11" fillId="7" borderId="27" xfId="8" applyNumberFormat="1" applyFont="1" applyFill="1" applyBorder="1" applyAlignment="1">
      <alignment horizontal="center"/>
    </xf>
    <xf numFmtId="1" fontId="11" fillId="7" borderId="1" xfId="8" applyNumberFormat="1" applyFont="1" applyFill="1" applyBorder="1" applyAlignment="1">
      <alignment horizontal="center"/>
    </xf>
    <xf numFmtId="1" fontId="11" fillId="7" borderId="17" xfId="8" applyNumberFormat="1" applyFont="1" applyFill="1" applyBorder="1" applyAlignment="1">
      <alignment horizontal="center"/>
    </xf>
    <xf numFmtId="167" fontId="10" fillId="7" borderId="14" xfId="0" applyNumberFormat="1" applyFont="1" applyFill="1" applyBorder="1" applyAlignment="1">
      <alignment horizontal="center"/>
    </xf>
    <xf numFmtId="167" fontId="22" fillId="8" borderId="12" xfId="0" applyNumberFormat="1" applyFont="1" applyFill="1" applyBorder="1" applyAlignment="1">
      <alignment horizontal="center"/>
    </xf>
    <xf numFmtId="167" fontId="10" fillId="8" borderId="60" xfId="0" applyNumberFormat="1" applyFont="1" applyFill="1" applyBorder="1" applyAlignment="1">
      <alignment horizontal="center"/>
    </xf>
    <xf numFmtId="0" fontId="20" fillId="0" borderId="0" xfId="0" applyFont="1" applyAlignment="1">
      <alignment horizontal="left" vertical="top"/>
    </xf>
    <xf numFmtId="0" fontId="11" fillId="0" borderId="1" xfId="0" applyFont="1" applyBorder="1" applyAlignment="1">
      <alignment horizontal="center" vertical="center"/>
    </xf>
    <xf numFmtId="165" fontId="11" fillId="0" borderId="1" xfId="0" applyNumberFormat="1" applyFont="1" applyBorder="1" applyAlignment="1">
      <alignment horizontal="center" vertical="center"/>
    </xf>
    <xf numFmtId="0" fontId="22" fillId="0" borderId="0" xfId="0" applyFont="1"/>
    <xf numFmtId="0" fontId="39" fillId="0" borderId="0" xfId="0" applyFont="1" applyAlignment="1">
      <alignment vertical="top"/>
    </xf>
    <xf numFmtId="0" fontId="11" fillId="0" borderId="25" xfId="0" applyFont="1" applyBorder="1"/>
    <xf numFmtId="165" fontId="39" fillId="0" borderId="1" xfId="0" applyNumberFormat="1" applyFont="1" applyBorder="1" applyAlignment="1">
      <alignment horizontal="center" vertical="center"/>
    </xf>
    <xf numFmtId="2" fontId="12" fillId="11" borderId="9" xfId="0" applyNumberFormat="1" applyFont="1" applyFill="1" applyBorder="1" applyAlignment="1">
      <alignment horizontal="center" vertical="center"/>
    </xf>
    <xf numFmtId="0" fontId="11" fillId="11" borderId="8" xfId="0" applyFont="1" applyFill="1" applyBorder="1" applyAlignment="1">
      <alignment horizontal="left"/>
    </xf>
    <xf numFmtId="4" fontId="11" fillId="8" borderId="29" xfId="0" applyNumberFormat="1" applyFont="1" applyFill="1" applyBorder="1" applyAlignment="1">
      <alignment horizontal="center"/>
    </xf>
    <xf numFmtId="4" fontId="11" fillId="8" borderId="36" xfId="0" applyNumberFormat="1" applyFont="1" applyFill="1" applyBorder="1" applyAlignment="1">
      <alignment horizontal="center"/>
    </xf>
    <xf numFmtId="0" fontId="20" fillId="0" borderId="47" xfId="0" applyFont="1" applyBorder="1" applyAlignment="1">
      <alignment horizontal="left" vertical="top" wrapText="1"/>
    </xf>
    <xf numFmtId="164" fontId="20" fillId="0" borderId="47" xfId="0" applyNumberFormat="1" applyFont="1" applyBorder="1" applyAlignment="1">
      <alignment horizontal="right" vertical="top" wrapText="1"/>
    </xf>
    <xf numFmtId="167" fontId="10" fillId="7" borderId="38" xfId="0" applyNumberFormat="1" applyFont="1" applyFill="1" applyBorder="1" applyAlignment="1">
      <alignment horizontal="center"/>
    </xf>
    <xf numFmtId="0" fontId="31" fillId="0" borderId="43" xfId="0" applyFont="1" applyBorder="1" applyAlignment="1">
      <alignment horizontal="center"/>
    </xf>
    <xf numFmtId="0" fontId="58" fillId="0" borderId="0" xfId="0" applyFont="1"/>
    <xf numFmtId="0" fontId="0" fillId="0" borderId="45" xfId="0" applyBorder="1"/>
    <xf numFmtId="0" fontId="61" fillId="0" borderId="45" xfId="0" applyFont="1" applyBorder="1"/>
    <xf numFmtId="0" fontId="22" fillId="0" borderId="10" xfId="0" applyFont="1" applyBorder="1" applyAlignment="1">
      <alignment horizontal="center" vertical="center"/>
    </xf>
    <xf numFmtId="2" fontId="11" fillId="8" borderId="38" xfId="0" applyNumberFormat="1" applyFont="1" applyFill="1" applyBorder="1" applyAlignment="1">
      <alignment horizontal="center" vertical="center"/>
    </xf>
    <xf numFmtId="2" fontId="22" fillId="8" borderId="28" xfId="0" applyNumberFormat="1" applyFont="1" applyFill="1" applyBorder="1" applyAlignment="1">
      <alignment horizontal="center" vertical="center"/>
    </xf>
    <xf numFmtId="2" fontId="31" fillId="13" borderId="34" xfId="0" applyNumberFormat="1" applyFont="1" applyFill="1" applyBorder="1" applyAlignment="1">
      <alignment horizontal="left" vertical="center"/>
    </xf>
    <xf numFmtId="2" fontId="31" fillId="13" borderId="11" xfId="0" applyNumberFormat="1" applyFont="1" applyFill="1" applyBorder="1" applyAlignment="1">
      <alignment horizontal="center" vertical="center"/>
    </xf>
    <xf numFmtId="2" fontId="31" fillId="13" borderId="94" xfId="0" applyNumberFormat="1" applyFont="1" applyFill="1" applyBorder="1" applyAlignment="1">
      <alignment horizontal="center" vertical="center"/>
    </xf>
    <xf numFmtId="2" fontId="31" fillId="13" borderId="43" xfId="0" applyNumberFormat="1" applyFont="1" applyFill="1" applyBorder="1" applyAlignment="1">
      <alignment horizontal="left" vertical="center"/>
    </xf>
    <xf numFmtId="2" fontId="31" fillId="13" borderId="10" xfId="0" applyNumberFormat="1" applyFont="1" applyFill="1" applyBorder="1" applyAlignment="1">
      <alignment horizontal="center" vertical="center"/>
    </xf>
    <xf numFmtId="2" fontId="31" fillId="13" borderId="67" xfId="0" applyNumberFormat="1" applyFont="1" applyFill="1" applyBorder="1" applyAlignment="1">
      <alignment horizontal="center" vertical="center"/>
    </xf>
    <xf numFmtId="2" fontId="22" fillId="7" borderId="28" xfId="0" applyNumberFormat="1" applyFont="1" applyFill="1" applyBorder="1" applyAlignment="1">
      <alignment horizontal="center" vertical="center"/>
    </xf>
    <xf numFmtId="4" fontId="27" fillId="14" borderId="1" xfId="0" applyNumberFormat="1" applyFont="1" applyFill="1" applyBorder="1" applyAlignment="1">
      <alignment horizontal="center"/>
    </xf>
    <xf numFmtId="4" fontId="10" fillId="15" borderId="7" xfId="0" applyNumberFormat="1" applyFont="1" applyFill="1" applyBorder="1" applyAlignment="1">
      <alignment vertical="center"/>
    </xf>
    <xf numFmtId="2" fontId="11" fillId="15" borderId="3" xfId="0" applyNumberFormat="1" applyFont="1" applyFill="1" applyBorder="1" applyAlignment="1">
      <alignment horizontal="center"/>
    </xf>
    <xf numFmtId="4" fontId="10" fillId="15" borderId="36" xfId="0" applyNumberFormat="1" applyFont="1" applyFill="1" applyBorder="1" applyAlignment="1">
      <alignment vertical="center"/>
    </xf>
    <xf numFmtId="2" fontId="11" fillId="15" borderId="5" xfId="0" applyNumberFormat="1" applyFont="1" applyFill="1" applyBorder="1" applyAlignment="1">
      <alignment horizontal="center"/>
    </xf>
    <xf numFmtId="2" fontId="11" fillId="15" borderId="25" xfId="0" applyNumberFormat="1" applyFont="1" applyFill="1" applyBorder="1" applyAlignment="1">
      <alignment horizontal="center"/>
    </xf>
    <xf numFmtId="2" fontId="11" fillId="15" borderId="47" xfId="0" applyNumberFormat="1" applyFont="1" applyFill="1" applyBorder="1" applyAlignment="1">
      <alignment horizontal="center"/>
    </xf>
    <xf numFmtId="0" fontId="35" fillId="15" borderId="1" xfId="0" applyFont="1" applyFill="1" applyBorder="1" applyAlignment="1">
      <alignment horizontal="center" vertical="top" wrapText="1"/>
    </xf>
    <xf numFmtId="4" fontId="11" fillId="15" borderId="9" xfId="0" applyNumberFormat="1" applyFont="1" applyFill="1" applyBorder="1" applyAlignment="1">
      <alignment horizontal="center"/>
    </xf>
    <xf numFmtId="4" fontId="11" fillId="15" borderId="31" xfId="0" applyNumberFormat="1" applyFont="1" applyFill="1" applyBorder="1" applyAlignment="1">
      <alignment horizontal="center"/>
    </xf>
    <xf numFmtId="4" fontId="11" fillId="15" borderId="12" xfId="0" applyNumberFormat="1" applyFont="1" applyFill="1" applyBorder="1" applyAlignment="1">
      <alignment horizontal="center"/>
    </xf>
    <xf numFmtId="0" fontId="0" fillId="15" borderId="0" xfId="0" applyFill="1"/>
    <xf numFmtId="165" fontId="10" fillId="15" borderId="93" xfId="0" applyNumberFormat="1" applyFont="1" applyFill="1" applyBorder="1" applyAlignment="1">
      <alignment horizontal="center" vertical="center"/>
    </xf>
    <xf numFmtId="0" fontId="0" fillId="15" borderId="9" xfId="0" applyFill="1" applyBorder="1"/>
    <xf numFmtId="0" fontId="10" fillId="15" borderId="43" xfId="0" applyFont="1" applyFill="1" applyBorder="1"/>
    <xf numFmtId="0" fontId="10" fillId="15" borderId="19" xfId="0" applyFont="1" applyFill="1" applyBorder="1"/>
    <xf numFmtId="0" fontId="10" fillId="15" borderId="23" xfId="0" applyFont="1" applyFill="1" applyBorder="1"/>
    <xf numFmtId="0" fontId="11" fillId="15" borderId="38" xfId="0" applyFont="1" applyFill="1" applyBorder="1" applyAlignment="1">
      <alignment horizontal="center"/>
    </xf>
    <xf numFmtId="0" fontId="11" fillId="15" borderId="10" xfId="0" applyFont="1" applyFill="1" applyBorder="1" applyAlignment="1">
      <alignment horizontal="center"/>
    </xf>
    <xf numFmtId="169" fontId="31" fillId="13" borderId="83" xfId="0" applyNumberFormat="1" applyFont="1" applyFill="1" applyBorder="1" applyAlignment="1">
      <alignment horizontal="center" vertical="center"/>
    </xf>
    <xf numFmtId="0" fontId="16" fillId="10" borderId="45" xfId="0" applyFont="1" applyFill="1" applyBorder="1" applyAlignment="1">
      <alignment horizontal="left"/>
    </xf>
    <xf numFmtId="0" fontId="15" fillId="0" borderId="0" xfId="0" applyFont="1" applyAlignment="1">
      <alignment horizontal="left"/>
    </xf>
    <xf numFmtId="0" fontId="16" fillId="10" borderId="0" xfId="0" applyFont="1" applyFill="1" applyAlignment="1">
      <alignment horizontal="left"/>
    </xf>
    <xf numFmtId="0" fontId="12" fillId="0" borderId="3" xfId="0" applyFont="1" applyBorder="1" applyAlignment="1">
      <alignment horizontal="left" vertical="top" wrapText="1"/>
    </xf>
    <xf numFmtId="0" fontId="12" fillId="0" borderId="25" xfId="0" applyFont="1" applyBorder="1" applyAlignment="1">
      <alignment horizontal="left" vertical="top" wrapText="1"/>
    </xf>
    <xf numFmtId="0" fontId="17" fillId="0" borderId="0" xfId="0" applyFont="1" applyAlignment="1">
      <alignment horizontal="left"/>
    </xf>
    <xf numFmtId="0" fontId="20" fillId="0" borderId="45" xfId="0" applyFont="1" applyBorder="1" applyAlignment="1">
      <alignment horizontal="left" vertical="top" wrapText="1"/>
    </xf>
    <xf numFmtId="0" fontId="20" fillId="0" borderId="45" xfId="0" applyFont="1" applyBorder="1" applyAlignment="1">
      <alignment horizontal="left" vertical="top"/>
    </xf>
    <xf numFmtId="0" fontId="31" fillId="0" borderId="39" xfId="0" applyFont="1" applyBorder="1" applyAlignment="1">
      <alignment horizontal="center" vertical="center"/>
    </xf>
    <xf numFmtId="0" fontId="31" fillId="0" borderId="43" xfId="0" applyFont="1" applyBorder="1" applyAlignment="1">
      <alignment horizontal="center" vertical="center"/>
    </xf>
    <xf numFmtId="0" fontId="10" fillId="0" borderId="68" xfId="0" applyFont="1" applyBorder="1" applyAlignment="1">
      <alignment horizontal="center" vertical="center"/>
    </xf>
    <xf numFmtId="0" fontId="10" fillId="0" borderId="82" xfId="0" applyFont="1" applyBorder="1" applyAlignment="1">
      <alignment horizontal="center" vertical="center"/>
    </xf>
    <xf numFmtId="0" fontId="10" fillId="0" borderId="21" xfId="0" applyFont="1" applyBorder="1" applyAlignment="1">
      <alignment horizontal="center" vertical="center"/>
    </xf>
    <xf numFmtId="0" fontId="10" fillId="0" borderId="80" xfId="0" applyFont="1" applyBorder="1" applyAlignment="1">
      <alignment horizontal="center" vertical="center"/>
    </xf>
    <xf numFmtId="0" fontId="10" fillId="0" borderId="20" xfId="0" applyFont="1" applyBorder="1" applyAlignment="1">
      <alignment horizontal="center" vertical="center"/>
    </xf>
    <xf numFmtId="0" fontId="10" fillId="0" borderId="22" xfId="0" applyFont="1" applyBorder="1" applyAlignment="1">
      <alignment horizontal="center" vertical="center"/>
    </xf>
    <xf numFmtId="0" fontId="20" fillId="0" borderId="0" xfId="0" applyFont="1" applyAlignment="1">
      <alignment horizontal="left" vertical="top" wrapText="1"/>
    </xf>
    <xf numFmtId="0" fontId="34" fillId="0" borderId="0" xfId="0" applyFont="1" applyAlignment="1">
      <alignment horizontal="left" wrapText="1"/>
    </xf>
    <xf numFmtId="0" fontId="22" fillId="0" borderId="65" xfId="0" applyFont="1" applyBorder="1" applyAlignment="1">
      <alignment horizontal="center"/>
    </xf>
    <xf numFmtId="0" fontId="22" fillId="0" borderId="71" xfId="0" applyFont="1" applyBorder="1" applyAlignment="1">
      <alignment horizontal="center"/>
    </xf>
    <xf numFmtId="0" fontId="22" fillId="0" borderId="44" xfId="0" applyFont="1" applyBorder="1" applyAlignment="1">
      <alignment horizontal="center"/>
    </xf>
    <xf numFmtId="0" fontId="20" fillId="0" borderId="61" xfId="0" applyFont="1" applyBorder="1" applyAlignment="1">
      <alignment horizontal="left" vertical="top" wrapText="1"/>
    </xf>
    <xf numFmtId="0" fontId="17" fillId="0" borderId="0" xfId="0" applyFont="1" applyAlignment="1">
      <alignment horizontal="left" vertical="top" wrapText="1"/>
    </xf>
    <xf numFmtId="0" fontId="34" fillId="0" borderId="45" xfId="0" applyFont="1" applyBorder="1" applyAlignment="1">
      <alignment horizontal="left" wrapText="1"/>
    </xf>
    <xf numFmtId="0" fontId="17" fillId="0" borderId="45" xfId="0" applyFont="1" applyBorder="1" applyAlignment="1">
      <alignment horizontal="left" vertical="top" wrapText="1"/>
    </xf>
    <xf numFmtId="0" fontId="31" fillId="0" borderId="11" xfId="0" applyFont="1" applyBorder="1" applyAlignment="1">
      <alignment horizontal="center" vertical="center"/>
    </xf>
    <xf numFmtId="0" fontId="31" fillId="0" borderId="26" xfId="0" applyFont="1" applyBorder="1" applyAlignment="1">
      <alignment horizontal="center" vertical="center"/>
    </xf>
    <xf numFmtId="0" fontId="22" fillId="0" borderId="11" xfId="0" applyFont="1" applyBorder="1" applyAlignment="1">
      <alignment horizontal="center" vertical="center"/>
    </xf>
    <xf numFmtId="0" fontId="22"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22" xfId="0" applyFont="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50" xfId="0" applyFont="1" applyBorder="1" applyAlignment="1">
      <alignment horizontal="center" vertical="center"/>
    </xf>
    <xf numFmtId="0" fontId="11" fillId="0" borderId="24" xfId="0" applyFont="1" applyBorder="1" applyAlignment="1">
      <alignment horizontal="center" vertical="center"/>
    </xf>
    <xf numFmtId="167" fontId="22" fillId="0" borderId="11" xfId="0" applyNumberFormat="1" applyFont="1" applyBorder="1" applyAlignment="1">
      <alignment horizontal="center" vertical="center" wrapText="1"/>
    </xf>
    <xf numFmtId="167" fontId="22" fillId="0" borderId="26" xfId="0" applyNumberFormat="1" applyFont="1" applyBorder="1" applyAlignment="1">
      <alignment horizontal="center" vertical="center" wrapText="1"/>
    </xf>
    <xf numFmtId="0" fontId="22" fillId="0" borderId="11"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12" xfId="0" applyFont="1" applyBorder="1" applyAlignment="1">
      <alignment horizontal="center" vertical="center"/>
    </xf>
    <xf numFmtId="167" fontId="22" fillId="0" borderId="34" xfId="0" applyNumberFormat="1" applyFont="1" applyBorder="1" applyAlignment="1">
      <alignment horizontal="center" vertical="center" wrapText="1"/>
    </xf>
    <xf numFmtId="167" fontId="22" fillId="0" borderId="30" xfId="0" applyNumberFormat="1" applyFont="1" applyBorder="1" applyAlignment="1">
      <alignment horizontal="center" vertical="center" wrapText="1"/>
    </xf>
    <xf numFmtId="167" fontId="22" fillId="0" borderId="33"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26"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39" xfId="0" applyFont="1" applyBorder="1" applyAlignment="1">
      <alignment horizontal="left" vertical="center"/>
    </xf>
    <xf numFmtId="0" fontId="22" fillId="0" borderId="35" xfId="0" applyFont="1" applyBorder="1" applyAlignment="1">
      <alignment horizontal="left" vertical="center"/>
    </xf>
    <xf numFmtId="0" fontId="31" fillId="0" borderId="39" xfId="0" applyFont="1" applyBorder="1" applyAlignment="1">
      <alignment horizontal="left" vertical="center" wrapText="1"/>
    </xf>
    <xf numFmtId="0" fontId="31" fillId="0" borderId="35" xfId="0" applyFont="1" applyBorder="1" applyAlignment="1">
      <alignment horizontal="left" vertical="center" wrapText="1"/>
    </xf>
    <xf numFmtId="0" fontId="31" fillId="0" borderId="39" xfId="0" applyFont="1" applyBorder="1" applyAlignment="1">
      <alignment horizontal="left" vertical="center"/>
    </xf>
    <xf numFmtId="0" fontId="31" fillId="0" borderId="35" xfId="0" applyFont="1" applyBorder="1" applyAlignment="1">
      <alignment horizontal="left" vertical="center"/>
    </xf>
    <xf numFmtId="2" fontId="22" fillId="8" borderId="65" xfId="0" applyNumberFormat="1" applyFont="1" applyFill="1" applyBorder="1" applyAlignment="1">
      <alignment horizontal="center"/>
    </xf>
    <xf numFmtId="2" fontId="22" fillId="8" borderId="44" xfId="0" applyNumberFormat="1" applyFont="1" applyFill="1" applyBorder="1" applyAlignment="1">
      <alignment horizontal="center"/>
    </xf>
    <xf numFmtId="167" fontId="22" fillId="0" borderId="12" xfId="0"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79" xfId="0" applyFont="1" applyBorder="1" applyAlignment="1">
      <alignment horizontal="center" vertical="center" wrapText="1"/>
    </xf>
    <xf numFmtId="0" fontId="22" fillId="0" borderId="17" xfId="0" applyFont="1" applyBorder="1" applyAlignment="1">
      <alignment horizontal="center" vertical="center" wrapText="1"/>
    </xf>
    <xf numFmtId="167" fontId="22" fillId="0" borderId="15" xfId="0" applyNumberFormat="1" applyFont="1" applyBorder="1" applyAlignment="1">
      <alignment horizontal="center" vertical="center" wrapText="1"/>
    </xf>
    <xf numFmtId="167" fontId="22" fillId="0" borderId="62" xfId="0" applyNumberFormat="1" applyFont="1" applyBorder="1" applyAlignment="1">
      <alignment horizontal="center" vertical="center" wrapText="1"/>
    </xf>
    <xf numFmtId="167" fontId="22" fillId="0" borderId="27" xfId="0" applyNumberFormat="1" applyFont="1" applyBorder="1" applyAlignment="1">
      <alignment horizontal="center" vertical="center" wrapText="1"/>
    </xf>
    <xf numFmtId="0" fontId="22" fillId="0" borderId="8"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9" xfId="0" applyFont="1" applyBorder="1" applyAlignment="1">
      <alignment horizontal="center" vertical="center" wrapText="1"/>
    </xf>
    <xf numFmtId="0" fontId="17" fillId="0" borderId="89" xfId="0" applyFont="1" applyBorder="1" applyAlignment="1">
      <alignment horizontal="left" vertical="top" wrapText="1"/>
    </xf>
    <xf numFmtId="0" fontId="17" fillId="0" borderId="84" xfId="0" applyFont="1" applyBorder="1" applyAlignment="1">
      <alignment horizontal="left" vertical="top" wrapText="1"/>
    </xf>
    <xf numFmtId="0" fontId="20" fillId="0" borderId="60" xfId="0" applyFont="1" applyBorder="1" applyAlignment="1">
      <alignment horizontal="left" vertical="top" wrapText="1"/>
    </xf>
    <xf numFmtId="0" fontId="12" fillId="0" borderId="0" xfId="0" applyFont="1" applyAlignment="1">
      <alignment horizontal="center"/>
    </xf>
    <xf numFmtId="0" fontId="12" fillId="0" borderId="57" xfId="0" applyFont="1" applyBorder="1" applyAlignment="1">
      <alignment horizontal="center"/>
    </xf>
    <xf numFmtId="0" fontId="27" fillId="0" borderId="45" xfId="0" applyFont="1" applyBorder="1" applyAlignment="1">
      <alignment vertical="top" wrapText="1"/>
    </xf>
  </cellXfs>
  <cellStyles count="9">
    <cellStyle name="Even" xfId="2" xr:uid="{A70C19A1-C3EF-4786-85ED-3DAE9F341753}"/>
    <cellStyle name="Hyperlink" xfId="1" builtinId="8"/>
    <cellStyle name="Mudeli alamleht" xfId="6" xr:uid="{45716488-2E3E-4358-988C-6C449AE54B96}"/>
    <cellStyle name="Normaallaad 2" xfId="7" xr:uid="{3A36BD74-9ADB-4410-B600-1B4827767C1C}"/>
    <cellStyle name="Normaallaad 3" xfId="8" xr:uid="{D5ECFABD-E642-4B01-8C92-EDA35296B521}"/>
    <cellStyle name="Normal" xfId="0" builtinId="0"/>
    <cellStyle name="Odd" xfId="3" xr:uid="{8A56CE27-123F-4CDC-B024-A75357C84734}"/>
    <cellStyle name="Per cent" xfId="5" builtinId="5"/>
    <cellStyle name="Selection" xfId="4" xr:uid="{C62767D0-0C49-4B22-8131-CA9A30B153B2}"/>
  </cellStyles>
  <dxfs count="51">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ill>
        <patternFill>
          <bgColor rgb="FFE1D4EB"/>
        </patternFill>
      </fill>
    </dxf>
    <dxf>
      <fill>
        <patternFill>
          <bgColor rgb="FFD9E3C6"/>
        </patternFill>
      </fill>
    </dxf>
  </dxfs>
  <tableStyles count="0" defaultTableStyle="TableStyleMedium9" defaultPivotStyle="PivotStyleLight16"/>
  <colors>
    <mruColors>
      <color rgb="FFD9E3C6"/>
      <color rgb="FFD4EBE1"/>
      <color rgb="FFE6E6E6"/>
      <color rgb="FFDEEBD4"/>
      <color rgb="FFE1D4EB"/>
      <color rgb="FFD0C6E3"/>
      <color rgb="FFACD2A4"/>
      <color rgb="FFC6E3D0"/>
      <color rgb="FFABC182"/>
      <color rgb="FFC2D2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ELEKTER!$C$20</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ELEKTER!$D$20:$O$20</c:f>
              <c:numCache>
                <c:formatCode>#,##0.0</c:formatCode>
                <c:ptCount val="12"/>
              </c:numCache>
            </c:numRef>
          </c:val>
          <c:smooth val="0"/>
          <c:extLst>
            <c:ext xmlns:c16="http://schemas.microsoft.com/office/drawing/2014/chart" uri="{C3380CC4-5D6E-409C-BE32-E72D297353CC}">
              <c16:uniqueId val="{00000001-CB5C-47AA-80EA-1E815F7DD22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SOOJUS!$B$22</c:f>
          <c:strCache>
            <c:ptCount val="1"/>
            <c:pt idx="0">
              <c:v>2026</c:v>
            </c:pt>
          </c:strCache>
        </c:strRef>
      </c:tx>
      <c:overlay val="0"/>
      <c:txPr>
        <a:bodyPr/>
        <a:lstStyle/>
        <a:p>
          <a:pPr>
            <a:defRPr sz="1000"/>
          </a:pPr>
          <a:endParaRPr lang="et-EE"/>
        </a:p>
      </c:txPr>
    </c:title>
    <c:autoTitleDeleted val="0"/>
    <c:plotArea>
      <c:layout/>
      <c:lineChart>
        <c:grouping val="standard"/>
        <c:varyColors val="0"/>
        <c:ser>
          <c:idx val="1"/>
          <c:order val="0"/>
          <c:tx>
            <c:strRef>
              <c:f>SOOJUS!$C$22</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SOOJUS!$D$22:$O$22</c:f>
              <c:numCache>
                <c:formatCode>#,##0.0</c:formatCode>
                <c:ptCount val="12"/>
              </c:numCache>
            </c:numRef>
          </c:val>
          <c:smooth val="0"/>
          <c:extLst>
            <c:ext xmlns:c16="http://schemas.microsoft.com/office/drawing/2014/chart" uri="{C3380CC4-5D6E-409C-BE32-E72D297353CC}">
              <c16:uniqueId val="{00000000-0FE2-4DD1-82E5-513D274D120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SOOJUS!$B$25</c:f>
          <c:strCache>
            <c:ptCount val="1"/>
            <c:pt idx="0">
              <c:v>2027</c:v>
            </c:pt>
          </c:strCache>
        </c:strRef>
      </c:tx>
      <c:overlay val="0"/>
      <c:txPr>
        <a:bodyPr/>
        <a:lstStyle/>
        <a:p>
          <a:pPr>
            <a:defRPr sz="1000"/>
          </a:pPr>
          <a:endParaRPr lang="et-EE"/>
        </a:p>
      </c:txPr>
    </c:title>
    <c:autoTitleDeleted val="0"/>
    <c:plotArea>
      <c:layout/>
      <c:lineChart>
        <c:grouping val="standard"/>
        <c:varyColors val="0"/>
        <c:ser>
          <c:idx val="1"/>
          <c:order val="0"/>
          <c:tx>
            <c:strRef>
              <c:f>SOOJUS!$C$25</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SOOJUS!$D$25:$O$25</c:f>
              <c:numCache>
                <c:formatCode>#,##0.0</c:formatCode>
                <c:ptCount val="12"/>
              </c:numCache>
            </c:numRef>
          </c:val>
          <c:smooth val="0"/>
          <c:extLst>
            <c:ext xmlns:c16="http://schemas.microsoft.com/office/drawing/2014/chart" uri="{C3380CC4-5D6E-409C-BE32-E72D297353CC}">
              <c16:uniqueId val="{00000000-809D-4191-98DE-F779DBCB7183}"/>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SOOJUS!$B$28</c:f>
          <c:strCache>
            <c:ptCount val="1"/>
            <c:pt idx="0">
              <c:v>2028</c:v>
            </c:pt>
          </c:strCache>
        </c:strRef>
      </c:tx>
      <c:overlay val="0"/>
      <c:txPr>
        <a:bodyPr/>
        <a:lstStyle/>
        <a:p>
          <a:pPr>
            <a:defRPr sz="1000"/>
          </a:pPr>
          <a:endParaRPr lang="et-EE"/>
        </a:p>
      </c:txPr>
    </c:title>
    <c:autoTitleDeleted val="0"/>
    <c:plotArea>
      <c:layout/>
      <c:lineChart>
        <c:grouping val="standard"/>
        <c:varyColors val="0"/>
        <c:ser>
          <c:idx val="1"/>
          <c:order val="0"/>
          <c:tx>
            <c:strRef>
              <c:f>SOOJUS!$C$28</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SOOJUS!$D$28:$O$28</c:f>
              <c:numCache>
                <c:formatCode>#,##0.0</c:formatCode>
                <c:ptCount val="12"/>
              </c:numCache>
            </c:numRef>
          </c:val>
          <c:smooth val="0"/>
          <c:extLst>
            <c:ext xmlns:c16="http://schemas.microsoft.com/office/drawing/2014/chart" uri="{C3380CC4-5D6E-409C-BE32-E72D297353CC}">
              <c16:uniqueId val="{00000000-91FE-4B32-8D55-2CC3B048839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SOOJUS!$B$31</c:f>
          <c:strCache>
            <c:ptCount val="1"/>
            <c:pt idx="0">
              <c:v>2029</c:v>
            </c:pt>
          </c:strCache>
        </c:strRef>
      </c:tx>
      <c:overlay val="0"/>
      <c:txPr>
        <a:bodyPr/>
        <a:lstStyle/>
        <a:p>
          <a:pPr>
            <a:defRPr sz="1000"/>
          </a:pPr>
          <a:endParaRPr lang="et-EE"/>
        </a:p>
      </c:txPr>
    </c:title>
    <c:autoTitleDeleted val="0"/>
    <c:plotArea>
      <c:layout/>
      <c:lineChart>
        <c:grouping val="standard"/>
        <c:varyColors val="0"/>
        <c:ser>
          <c:idx val="1"/>
          <c:order val="0"/>
          <c:tx>
            <c:strRef>
              <c:f>SOOJUS!$C$31</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SOOJUS!$D$31:$O$31</c:f>
              <c:numCache>
                <c:formatCode>#,##0.0</c:formatCode>
                <c:ptCount val="12"/>
              </c:numCache>
            </c:numRef>
          </c:val>
          <c:smooth val="0"/>
          <c:extLst>
            <c:ext xmlns:c16="http://schemas.microsoft.com/office/drawing/2014/chart" uri="{C3380CC4-5D6E-409C-BE32-E72D297353CC}">
              <c16:uniqueId val="{00000000-9D08-4076-8611-40E394E02126}"/>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SOOJUS!$B$34</c:f>
          <c:strCache>
            <c:ptCount val="1"/>
            <c:pt idx="0">
              <c:v>2030</c:v>
            </c:pt>
          </c:strCache>
        </c:strRef>
      </c:tx>
      <c:overlay val="0"/>
      <c:txPr>
        <a:bodyPr/>
        <a:lstStyle/>
        <a:p>
          <a:pPr>
            <a:defRPr sz="1000"/>
          </a:pPr>
          <a:endParaRPr lang="et-EE"/>
        </a:p>
      </c:txPr>
    </c:title>
    <c:autoTitleDeleted val="0"/>
    <c:plotArea>
      <c:layout/>
      <c:lineChart>
        <c:grouping val="standard"/>
        <c:varyColors val="0"/>
        <c:ser>
          <c:idx val="1"/>
          <c:order val="0"/>
          <c:tx>
            <c:strRef>
              <c:f>SOOJUS!$C$34</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SOOJUS!$D$34:$O$34</c:f>
              <c:numCache>
                <c:formatCode>#,##0.0</c:formatCode>
                <c:ptCount val="12"/>
              </c:numCache>
            </c:numRef>
          </c:val>
          <c:smooth val="0"/>
          <c:extLst>
            <c:ext xmlns:c16="http://schemas.microsoft.com/office/drawing/2014/chart" uri="{C3380CC4-5D6E-409C-BE32-E72D297353CC}">
              <c16:uniqueId val="{00000000-41EC-4D57-81FD-C6985708A9AD}"/>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VESI!$C$20</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VESI!$D$20:$O$20</c:f>
              <c:numCache>
                <c:formatCode>#,##0.0</c:formatCode>
                <c:ptCount val="12"/>
              </c:numCache>
            </c:numRef>
          </c:val>
          <c:smooth val="0"/>
          <c:extLst>
            <c:ext xmlns:c16="http://schemas.microsoft.com/office/drawing/2014/chart" uri="{C3380CC4-5D6E-409C-BE32-E72D297353CC}">
              <c16:uniqueId val="{00000000-7373-4A78-AC06-4383297A597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VESI!$C$22</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VESI!$D$22:$O$22</c:f>
              <c:numCache>
                <c:formatCode>#,##0.0</c:formatCode>
                <c:ptCount val="12"/>
              </c:numCache>
            </c:numRef>
          </c:val>
          <c:smooth val="0"/>
          <c:extLst>
            <c:ext xmlns:c16="http://schemas.microsoft.com/office/drawing/2014/chart" uri="{C3380CC4-5D6E-409C-BE32-E72D297353CC}">
              <c16:uniqueId val="{00000000-AF7B-4586-AD94-CA689D150A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VESI!$C$24</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VESI!$D$24:$O$24</c:f>
              <c:numCache>
                <c:formatCode>#,##0.0</c:formatCode>
                <c:ptCount val="12"/>
              </c:numCache>
            </c:numRef>
          </c:val>
          <c:smooth val="0"/>
          <c:extLst>
            <c:ext xmlns:c16="http://schemas.microsoft.com/office/drawing/2014/chart" uri="{C3380CC4-5D6E-409C-BE32-E72D297353CC}">
              <c16:uniqueId val="{00000000-BE21-4F08-B5A9-1D15DF12CDA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VESI!$D$26:$O$26</c:f>
              <c:numCache>
                <c:formatCode>#,##0.0</c:formatCode>
                <c:ptCount val="12"/>
              </c:numCache>
            </c:numRef>
          </c:val>
          <c:smooth val="0"/>
          <c:extLst>
            <c:ext xmlns:c16="http://schemas.microsoft.com/office/drawing/2014/chart" uri="{C3380CC4-5D6E-409C-BE32-E72D297353CC}">
              <c16:uniqueId val="{00000000-5AD9-4D82-B8A0-5FE57550943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VESI!$D$28:$O$28</c:f>
              <c:numCache>
                <c:formatCode>#,##0.0</c:formatCode>
                <c:ptCount val="12"/>
              </c:numCache>
            </c:numRef>
          </c:val>
          <c:smooth val="0"/>
          <c:extLst>
            <c:ext xmlns:c16="http://schemas.microsoft.com/office/drawing/2014/chart" uri="{C3380CC4-5D6E-409C-BE32-E72D297353CC}">
              <c16:uniqueId val="{00000000-0295-4910-8138-E10BF21575B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ELEKTER!$C$22</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ELEKTER!$D$22:$O$22</c:f>
              <c:numCache>
                <c:formatCode>#,##0.0</c:formatCode>
                <c:ptCount val="12"/>
              </c:numCache>
            </c:numRef>
          </c:val>
          <c:smooth val="0"/>
          <c:extLst>
            <c:ext xmlns:c16="http://schemas.microsoft.com/office/drawing/2014/chart" uri="{C3380CC4-5D6E-409C-BE32-E72D297353CC}">
              <c16:uniqueId val="{00000000-7C40-45D9-94A4-0B0C6706B6DD}"/>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VESI!$D$16:$O$16</c:f>
              <c:numCache>
                <c:formatCode>#,##0.0</c:formatCode>
                <c:ptCount val="12"/>
              </c:numCache>
            </c:numRef>
          </c:val>
          <c:smooth val="0"/>
          <c:extLst>
            <c:ext xmlns:c16="http://schemas.microsoft.com/office/drawing/2014/chart" uri="{C3380CC4-5D6E-409C-BE32-E72D297353CC}">
              <c16:uniqueId val="{00000000-3175-407E-94C6-EA42C0116DB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VESI!$D$18:$O$18</c:f>
              <c:numCache>
                <c:formatCode>#,##0.0</c:formatCode>
                <c:ptCount val="12"/>
              </c:numCache>
            </c:numRef>
          </c:val>
          <c:smooth val="0"/>
          <c:extLst>
            <c:ext xmlns:c16="http://schemas.microsoft.com/office/drawing/2014/chart" uri="{C3380CC4-5D6E-409C-BE32-E72D297353CC}">
              <c16:uniqueId val="{00000000-455C-4806-860F-7B5707B08B2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KOOND!$B$49</c:f>
              <c:strCache>
                <c:ptCount val="1"/>
                <c:pt idx="0">
                  <c:v>Olmejäätmete teke ööbimise kohta (kg/ööbimine)</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KOOND!$C$49:$I$49</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0E-4F68-B549-E4BC3940B606}"/>
            </c:ext>
          </c:extLst>
        </c:ser>
        <c:dLbls>
          <c:showLegendKey val="0"/>
          <c:showVal val="1"/>
          <c:showCatName val="0"/>
          <c:showSerName val="0"/>
          <c:showPercent val="0"/>
          <c:showBubbleSize val="0"/>
        </c:dLbls>
        <c:marker val="1"/>
        <c:smooth val="0"/>
        <c:axId val="1090777784"/>
        <c:axId val="1090782704"/>
      </c:lineChart>
      <c:catAx>
        <c:axId val="1090777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090782704"/>
        <c:crosses val="autoZero"/>
        <c:auto val="1"/>
        <c:lblAlgn val="ctr"/>
        <c:lblOffset val="100"/>
        <c:noMultiLvlLbl val="0"/>
      </c:catAx>
      <c:valAx>
        <c:axId val="1090782704"/>
        <c:scaling>
          <c:orientation val="minMax"/>
        </c:scaling>
        <c:delete val="1"/>
        <c:axPos val="l"/>
        <c:numFmt formatCode="#,##0.0" sourceLinked="1"/>
        <c:majorTickMark val="none"/>
        <c:minorTickMark val="none"/>
        <c:tickLblPos val="nextTo"/>
        <c:crossAx val="1090777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KOOND!$B$10</c:f>
              <c:strCache>
                <c:ptCount val="1"/>
                <c:pt idx="0">
                  <c:v>Elektritarbimine ööbimise kohta (kWh/ööbimine)</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KOOND!$C$10:$I$10</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ADC5-4078-A193-4DDE0AF24DEC}"/>
            </c:ext>
          </c:extLst>
        </c:ser>
        <c:dLbls>
          <c:showLegendKey val="0"/>
          <c:showVal val="1"/>
          <c:showCatName val="0"/>
          <c:showSerName val="0"/>
          <c:showPercent val="0"/>
          <c:showBubbleSize val="0"/>
        </c:dLbls>
        <c:marker val="1"/>
        <c:smooth val="0"/>
        <c:axId val="743040032"/>
        <c:axId val="743047576"/>
      </c:lineChart>
      <c:catAx>
        <c:axId val="743040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743047576"/>
        <c:crosses val="autoZero"/>
        <c:auto val="1"/>
        <c:lblAlgn val="ctr"/>
        <c:lblOffset val="100"/>
        <c:noMultiLvlLbl val="0"/>
      </c:catAx>
      <c:valAx>
        <c:axId val="743047576"/>
        <c:scaling>
          <c:orientation val="minMax"/>
        </c:scaling>
        <c:delete val="1"/>
        <c:axPos val="l"/>
        <c:numFmt formatCode="#,##0.0" sourceLinked="1"/>
        <c:majorTickMark val="none"/>
        <c:minorTickMark val="none"/>
        <c:tickLblPos val="nextTo"/>
        <c:crossAx val="743040032"/>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KOOND!$B$9</c:f>
              <c:strCache>
                <c:ptCount val="1"/>
                <c:pt idx="0">
                  <c:v>Elektritarbimine majutusettevõttes (kWh)</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KOOND!$C$9:$I$9</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14-4562-AE2B-B722BD86FBE6}"/>
            </c:ext>
          </c:extLst>
        </c:ser>
        <c:dLbls>
          <c:dLblPos val="t"/>
          <c:showLegendKey val="0"/>
          <c:showVal val="1"/>
          <c:showCatName val="0"/>
          <c:showSerName val="0"/>
          <c:showPercent val="0"/>
          <c:showBubbleSize val="0"/>
        </c:dLbls>
        <c:marker val="1"/>
        <c:smooth val="0"/>
        <c:axId val="322193600"/>
        <c:axId val="322200672"/>
      </c:lineChart>
      <c:catAx>
        <c:axId val="3221936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0672"/>
        <c:crosses val="autoZero"/>
        <c:auto val="1"/>
        <c:lblAlgn val="ctr"/>
        <c:lblOffset val="100"/>
        <c:noMultiLvlLbl val="0"/>
      </c:catAx>
      <c:valAx>
        <c:axId val="322200672"/>
        <c:scaling>
          <c:orientation val="minMax"/>
        </c:scaling>
        <c:delete val="1"/>
        <c:axPos val="l"/>
        <c:numFmt formatCode="#,##0.0" sourceLinked="1"/>
        <c:majorTickMark val="none"/>
        <c:minorTickMark val="none"/>
        <c:tickLblPos val="nextTo"/>
        <c:crossAx val="3221936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KOOND!$B$17</c:f>
              <c:strCache>
                <c:ptCount val="1"/>
                <c:pt idx="0">
                  <c:v>Soojusenergia tarbimine majutusettevõttes (kWh)</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KOOND!$C$17:$I$17</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E32-4922-BA8B-C09A9CCDADE3}"/>
            </c:ext>
          </c:extLst>
        </c:ser>
        <c:dLbls>
          <c:dLblPos val="t"/>
          <c:showLegendKey val="0"/>
          <c:showVal val="1"/>
          <c:showCatName val="0"/>
          <c:showSerName val="0"/>
          <c:showPercent val="0"/>
          <c:showBubbleSize val="0"/>
        </c:dLbls>
        <c:marker val="1"/>
        <c:smooth val="0"/>
        <c:axId val="309256784"/>
        <c:axId val="309262192"/>
      </c:lineChart>
      <c:catAx>
        <c:axId val="309256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09262192"/>
        <c:crosses val="autoZero"/>
        <c:auto val="1"/>
        <c:lblAlgn val="ctr"/>
        <c:lblOffset val="100"/>
        <c:noMultiLvlLbl val="0"/>
      </c:catAx>
      <c:valAx>
        <c:axId val="309262192"/>
        <c:scaling>
          <c:orientation val="minMax"/>
        </c:scaling>
        <c:delete val="1"/>
        <c:axPos val="l"/>
        <c:numFmt formatCode="#,##0.0" sourceLinked="1"/>
        <c:majorTickMark val="none"/>
        <c:minorTickMark val="none"/>
        <c:tickLblPos val="nextTo"/>
        <c:crossAx val="309256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KOOND!$B$18</c:f>
              <c:strCache>
                <c:ptCount val="1"/>
                <c:pt idx="0">
                  <c:v>Soojusenergia tarbimine ruutmeetri kohta (kWh/m²)</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KOOND!$C$18:$I$18</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2E6-43DA-9F03-742632A6E3AC}"/>
            </c:ext>
          </c:extLst>
        </c:ser>
        <c:dLbls>
          <c:showLegendKey val="0"/>
          <c:showVal val="0"/>
          <c:showCatName val="0"/>
          <c:showSerName val="0"/>
          <c:showPercent val="0"/>
          <c:showBubbleSize val="0"/>
        </c:dLbls>
        <c:marker val="1"/>
        <c:smooth val="0"/>
        <c:axId val="322214400"/>
        <c:axId val="322203584"/>
      </c:lineChart>
      <c:catAx>
        <c:axId val="3222144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3584"/>
        <c:crosses val="autoZero"/>
        <c:auto val="1"/>
        <c:lblAlgn val="ctr"/>
        <c:lblOffset val="100"/>
        <c:noMultiLvlLbl val="0"/>
      </c:catAx>
      <c:valAx>
        <c:axId val="322203584"/>
        <c:scaling>
          <c:orientation val="minMax"/>
        </c:scaling>
        <c:delete val="1"/>
        <c:axPos val="l"/>
        <c:numFmt formatCode="#,##0.0" sourceLinked="1"/>
        <c:majorTickMark val="none"/>
        <c:minorTickMark val="none"/>
        <c:tickLblPos val="nextTo"/>
        <c:crossAx val="3222144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KOOND!$B$25</c:f>
              <c:strCache>
                <c:ptCount val="1"/>
                <c:pt idx="0">
                  <c:v>Veetarbimine majutusettevõttes (m³)</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KOOND!$C$25:$I$25</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4E9-45AF-93B7-ECF45AD78B74}"/>
            </c:ext>
          </c:extLst>
        </c:ser>
        <c:dLbls>
          <c:dLblPos val="t"/>
          <c:showLegendKey val="0"/>
          <c:showVal val="1"/>
          <c:showCatName val="0"/>
          <c:showSerName val="0"/>
          <c:showPercent val="0"/>
          <c:showBubbleSize val="0"/>
        </c:dLbls>
        <c:marker val="1"/>
        <c:smooth val="0"/>
        <c:axId val="383965584"/>
        <c:axId val="383949360"/>
      </c:lineChart>
      <c:catAx>
        <c:axId val="383965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83949360"/>
        <c:crosses val="autoZero"/>
        <c:auto val="1"/>
        <c:lblAlgn val="ctr"/>
        <c:lblOffset val="100"/>
        <c:noMultiLvlLbl val="0"/>
      </c:catAx>
      <c:valAx>
        <c:axId val="383949360"/>
        <c:scaling>
          <c:orientation val="minMax"/>
        </c:scaling>
        <c:delete val="1"/>
        <c:axPos val="l"/>
        <c:numFmt formatCode="#,##0.0" sourceLinked="1"/>
        <c:majorTickMark val="none"/>
        <c:minorTickMark val="none"/>
        <c:tickLblPos val="nextTo"/>
        <c:crossAx val="3839655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KOOND!$B$26</c:f>
              <c:strCache>
                <c:ptCount val="1"/>
                <c:pt idx="0">
                  <c:v>Veetarbimine ööbimise kohta (m³/ööbimine)</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KOOND!$C$26:$I$26</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AED-4500-840B-C4818B68CBF6}"/>
            </c:ext>
          </c:extLst>
        </c:ser>
        <c:dLbls>
          <c:dLblPos val="t"/>
          <c:showLegendKey val="0"/>
          <c:showVal val="1"/>
          <c:showCatName val="0"/>
          <c:showSerName val="0"/>
          <c:showPercent val="0"/>
          <c:showBubbleSize val="0"/>
        </c:dLbls>
        <c:marker val="1"/>
        <c:smooth val="0"/>
        <c:axId val="215746720"/>
        <c:axId val="215754624"/>
      </c:lineChart>
      <c:catAx>
        <c:axId val="215746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215754624"/>
        <c:crosses val="autoZero"/>
        <c:auto val="1"/>
        <c:lblAlgn val="ctr"/>
        <c:lblOffset val="100"/>
        <c:noMultiLvlLbl val="0"/>
      </c:catAx>
      <c:valAx>
        <c:axId val="215754624"/>
        <c:scaling>
          <c:orientation val="minMax"/>
        </c:scaling>
        <c:delete val="1"/>
        <c:axPos val="l"/>
        <c:numFmt formatCode="#,##0.0" sourceLinked="1"/>
        <c:majorTickMark val="none"/>
        <c:minorTickMark val="none"/>
        <c:tickLblPos val="nextTo"/>
        <c:crossAx val="21574672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KOOND!$B$33</c:f>
              <c:strCache>
                <c:ptCount val="1"/>
                <c:pt idx="0">
                  <c:v>Ostetud kontori- ja pehmepaber (kg)</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KOOND!$C$33:$I$33</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32C-45F5-B9EE-F8726CD0238D}"/>
            </c:ext>
          </c:extLst>
        </c:ser>
        <c:dLbls>
          <c:dLblPos val="t"/>
          <c:showLegendKey val="0"/>
          <c:showVal val="1"/>
          <c:showCatName val="0"/>
          <c:showSerName val="0"/>
          <c:showPercent val="0"/>
          <c:showBubbleSize val="0"/>
        </c:dLbls>
        <c:marker val="1"/>
        <c:smooth val="0"/>
        <c:axId val="147877696"/>
        <c:axId val="147875200"/>
      </c:lineChart>
      <c:catAx>
        <c:axId val="147877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47875200"/>
        <c:crosses val="autoZero"/>
        <c:auto val="1"/>
        <c:lblAlgn val="ctr"/>
        <c:lblOffset val="100"/>
        <c:noMultiLvlLbl val="0"/>
      </c:catAx>
      <c:valAx>
        <c:axId val="147875200"/>
        <c:scaling>
          <c:orientation val="minMax"/>
        </c:scaling>
        <c:delete val="1"/>
        <c:axPos val="l"/>
        <c:numFmt formatCode="#,##0.0" sourceLinked="1"/>
        <c:majorTickMark val="none"/>
        <c:minorTickMark val="none"/>
        <c:tickLblPos val="nextTo"/>
        <c:crossAx val="14787769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ELEKTER!$C$24</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ELEKTER!$D$24:$O$24</c:f>
              <c:numCache>
                <c:formatCode>#,##0.0</c:formatCode>
                <c:ptCount val="12"/>
              </c:numCache>
            </c:numRef>
          </c:val>
          <c:smooth val="0"/>
          <c:extLst>
            <c:ext xmlns:c16="http://schemas.microsoft.com/office/drawing/2014/chart" uri="{C3380CC4-5D6E-409C-BE32-E72D297353CC}">
              <c16:uniqueId val="{00000000-2BBE-4F2D-BC84-FF9639BE5D44}"/>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KOOND!$B$34</c:f>
              <c:strCache>
                <c:ptCount val="1"/>
                <c:pt idx="0">
                  <c:v>Ostetud kontori- ja pehmepaber (kg/ööbimine)</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KOOND!$C$34:$I$34</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5C6-4660-A039-8C138A01D77E}"/>
            </c:ext>
          </c:extLst>
        </c:ser>
        <c:dLbls>
          <c:dLblPos val="t"/>
          <c:showLegendKey val="0"/>
          <c:showVal val="1"/>
          <c:showCatName val="0"/>
          <c:showSerName val="0"/>
          <c:showPercent val="0"/>
          <c:showBubbleSize val="0"/>
        </c:dLbls>
        <c:marker val="1"/>
        <c:smooth val="0"/>
        <c:axId val="455369216"/>
        <c:axId val="455353408"/>
      </c:lineChart>
      <c:catAx>
        <c:axId val="4553692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455353408"/>
        <c:crosses val="autoZero"/>
        <c:auto val="1"/>
        <c:lblAlgn val="ctr"/>
        <c:lblOffset val="100"/>
        <c:noMultiLvlLbl val="0"/>
      </c:catAx>
      <c:valAx>
        <c:axId val="455353408"/>
        <c:scaling>
          <c:orientation val="minMax"/>
        </c:scaling>
        <c:delete val="1"/>
        <c:axPos val="l"/>
        <c:numFmt formatCode="#,##0.0" sourceLinked="1"/>
        <c:majorTickMark val="none"/>
        <c:minorTickMark val="none"/>
        <c:tickLblPos val="nextTo"/>
        <c:crossAx val="45536921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r>
              <a:rPr lang="en-US" sz="1000" b="1" i="0" cap="all" spc="100" baseline="0">
                <a:effectLst/>
                <a:latin typeface="Aptos Narrow" panose="020B0004020202020204" pitchFamily="34" charset="0"/>
              </a:rPr>
              <a:t>Ol</a:t>
            </a:r>
            <a:r>
              <a:rPr lang="et-EE" sz="1000" b="1" i="0" cap="all" spc="100" baseline="0">
                <a:effectLst/>
                <a:latin typeface="Aptos Narrow" panose="020B0004020202020204" pitchFamily="34" charset="0"/>
              </a:rPr>
              <a:t>mejäätmete teke (kg) ja liigiti kogutud jäätmete osakaal</a:t>
            </a:r>
            <a:endParaRPr lang="en-GB" sz="1000" spc="100" baseline="0">
              <a:effectLst/>
              <a:latin typeface="Aptos Narrow" panose="020B0004020202020204" pitchFamily="34" charset="0"/>
            </a:endParaRPr>
          </a:p>
        </c:rich>
      </c:tx>
      <c:overlay val="0"/>
      <c:spPr>
        <a:noFill/>
        <a:ln>
          <a:noFill/>
        </a:ln>
        <a:effectLst/>
      </c:spPr>
      <c:txPr>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endParaRPr lang="en-GB"/>
        </a:p>
      </c:txPr>
    </c:title>
    <c:autoTitleDeleted val="0"/>
    <c:plotArea>
      <c:layout/>
      <c:barChart>
        <c:barDir val="col"/>
        <c:grouping val="clustered"/>
        <c:varyColors val="0"/>
        <c:ser>
          <c:idx val="0"/>
          <c:order val="0"/>
          <c:tx>
            <c:strRef>
              <c:f>KOOND!$B$47</c:f>
              <c:strCache>
                <c:ptCount val="1"/>
                <c:pt idx="0">
                  <c:v>Olmejäätmete teke kokku (kg)</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KOOND!$C$47:$I$47</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396-48FF-9FD5-F905E53C482B}"/>
            </c:ext>
          </c:extLst>
        </c:ser>
        <c:dLbls>
          <c:showLegendKey val="0"/>
          <c:showVal val="1"/>
          <c:showCatName val="0"/>
          <c:showSerName val="0"/>
          <c:showPercent val="0"/>
          <c:showBubbleSize val="0"/>
        </c:dLbls>
        <c:gapWidth val="79"/>
        <c:overlap val="100"/>
        <c:axId val="1338821872"/>
        <c:axId val="1338818960"/>
      </c:barChart>
      <c:lineChart>
        <c:grouping val="standard"/>
        <c:varyColors val="0"/>
        <c:ser>
          <c:idx val="1"/>
          <c:order val="1"/>
          <c:tx>
            <c:strRef>
              <c:f>KOOND!$B$50</c:f>
              <c:strCache>
                <c:ptCount val="1"/>
                <c:pt idx="0">
                  <c:v>Liigiti kogutud jäätmete osakaal (%)</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strRef>
                  <c:f>KOOND!$C$50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{339AAEC9-7B15-46D9-A966-AAAFBF0D1407}</c15:txfldGUID>
                      <c15:f>KOOND!$C$50</c15:f>
                      <c15:dlblFieldTableCache>
                        <c:ptCount val="1"/>
                        <c:pt idx="0">
                          <c:v>#DIV/0!</c:v>
                        </c:pt>
                      </c15:dlblFieldTableCache>
                    </c15:dlblFTEntry>
                  </c15:dlblFieldTable>
                  <c15:showDataLabelsRange val="0"/>
                </c:ext>
                <c:ext xmlns:c16="http://schemas.microsoft.com/office/drawing/2014/chart" uri="{C3380CC4-5D6E-409C-BE32-E72D297353CC}">
                  <c16:uniqueId val="{00000002-D396-48FF-9FD5-F905E53C482B}"/>
                </c:ext>
              </c:extLst>
            </c:dLbl>
            <c:dLbl>
              <c:idx val="1"/>
              <c:tx>
                <c:strRef>
                  <c:f>KOOND!$D$50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{25BA554B-C5C2-4341-9526-6D3ACFC819F1}</c15:txfldGUID>
                      <c15:f>KOOND!$D$50</c15:f>
                      <c15:dlblFieldTableCache>
                        <c:ptCount val="1"/>
                        <c:pt idx="0">
                          <c:v>#DIV/0!</c:v>
                        </c:pt>
                      </c15:dlblFieldTableCache>
                    </c15:dlblFTEntry>
                  </c15:dlblFieldTable>
                  <c15:showDataLabelsRange val="0"/>
                </c:ext>
                <c:ext xmlns:c16="http://schemas.microsoft.com/office/drawing/2014/chart" uri="{C3380CC4-5D6E-409C-BE32-E72D297353CC}">
                  <c16:uniqueId val="{00000003-D396-48FF-9FD5-F905E53C482B}"/>
                </c:ext>
              </c:extLst>
            </c:dLbl>
            <c:dLbl>
              <c:idx val="2"/>
              <c:tx>
                <c:strRef>
                  <c:f>KOOND!$E$50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{066E742A-9159-4010-A8FB-9F7356002856}</c15:txfldGUID>
                      <c15:f>KOOND!$E$50</c15:f>
                      <c15:dlblFieldTableCache>
                        <c:ptCount val="1"/>
                        <c:pt idx="0">
                          <c:v>#DIV/0!</c:v>
                        </c:pt>
                      </c15:dlblFieldTableCache>
                    </c15:dlblFTEntry>
                  </c15:dlblFieldTable>
                  <c15:showDataLabelsRange val="0"/>
                </c:ext>
                <c:ext xmlns:c16="http://schemas.microsoft.com/office/drawing/2014/chart" uri="{C3380CC4-5D6E-409C-BE32-E72D297353CC}">
                  <c16:uniqueId val="{00000004-D396-48FF-9FD5-F905E53C482B}"/>
                </c:ext>
              </c:extLst>
            </c:dLbl>
            <c:dLbl>
              <c:idx val="3"/>
              <c:tx>
                <c:strRef>
                  <c:f>KOOND!$F$50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{9D4058B5-9844-4E9E-BF66-1C91AC19921C}</c15:txfldGUID>
                      <c15:f>KOOND!$F$50</c15:f>
                      <c15:dlblFieldTableCache>
                        <c:ptCount val="1"/>
                        <c:pt idx="0">
                          <c:v>#DIV/0!</c:v>
                        </c:pt>
                      </c15:dlblFieldTableCache>
                    </c15:dlblFTEntry>
                  </c15:dlblFieldTable>
                  <c15:showDataLabelsRange val="0"/>
                </c:ext>
                <c:ext xmlns:c16="http://schemas.microsoft.com/office/drawing/2014/chart" uri="{C3380CC4-5D6E-409C-BE32-E72D297353CC}">
                  <c16:uniqueId val="{00000005-D396-48FF-9FD5-F905E53C482B}"/>
                </c:ext>
              </c:extLst>
            </c:dLbl>
            <c:dLbl>
              <c:idx val="4"/>
              <c:tx>
                <c:strRef>
                  <c:f>KOOND!$G$50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{9473CDB0-B74A-483E-B026-C943820BB17C}</c15:txfldGUID>
                      <c15:f>KOOND!$G$50</c15:f>
                      <c15:dlblFieldTableCache>
                        <c:ptCount val="1"/>
                        <c:pt idx="0">
                          <c:v>#DIV/0!</c:v>
                        </c:pt>
                      </c15:dlblFieldTableCache>
                    </c15:dlblFTEntry>
                  </c15:dlblFieldTable>
                  <c15:showDataLabelsRange val="0"/>
                </c:ext>
                <c:ext xmlns:c16="http://schemas.microsoft.com/office/drawing/2014/chart" uri="{C3380CC4-5D6E-409C-BE32-E72D297353CC}">
                  <c16:uniqueId val="{00000006-D396-48FF-9FD5-F905E53C482B}"/>
                </c:ext>
              </c:extLst>
            </c:dLbl>
            <c:dLbl>
              <c:idx val="5"/>
              <c:tx>
                <c:strRef>
                  <c:f>KOOND!$H$50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{7DF1FD3B-42AA-482C-8862-1FFBC15E67E7}</c15:txfldGUID>
                      <c15:f>KOOND!$H$50</c15:f>
                      <c15:dlblFieldTableCache>
                        <c:ptCount val="1"/>
                        <c:pt idx="0">
                          <c:v>#DIV/0!</c:v>
                        </c:pt>
                      </c15:dlblFieldTableCache>
                    </c15:dlblFTEntry>
                  </c15:dlblFieldTable>
                  <c15:showDataLabelsRange val="0"/>
                </c:ext>
                <c:ext xmlns:c16="http://schemas.microsoft.com/office/drawing/2014/chart" uri="{C3380CC4-5D6E-409C-BE32-E72D297353CC}">
                  <c16:uniqueId val="{00000007-D396-48FF-9FD5-F905E53C482B}"/>
                </c:ext>
              </c:extLst>
            </c:dLbl>
            <c:dLbl>
              <c:idx val="6"/>
              <c:tx>
                <c:strRef>
                  <c:f>KOOND!$I$50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{341A16B0-33DD-43DA-A5DE-53A20C56D176}</c15:txfldGUID>
                      <c15:f>KOOND!$I$50</c15:f>
                      <c15:dlblFieldTableCache>
                        <c:ptCount val="1"/>
                        <c:pt idx="0">
                          <c:v>#DIV/0!</c:v>
                        </c:pt>
                      </c15:dlblFieldTableCache>
                    </c15:dlblFTEntry>
                  </c15:dlblFieldTable>
                  <c15:showDataLabelsRange val="0"/>
                </c:ext>
                <c:ext xmlns:c16="http://schemas.microsoft.com/office/drawing/2014/chart" uri="{C3380CC4-5D6E-409C-BE32-E72D297353CC}">
                  <c16:uniqueId val="{00000008-D396-48FF-9FD5-F905E53C482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KOOND!$C$45:$I$45</c:f>
              <c:numCache>
                <c:formatCode>#,##0.0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396-48FF-9FD5-F905E53C482B}"/>
            </c:ext>
          </c:extLst>
        </c:ser>
        <c:dLbls>
          <c:showLegendKey val="0"/>
          <c:showVal val="1"/>
          <c:showCatName val="0"/>
          <c:showSerName val="0"/>
          <c:showPercent val="0"/>
          <c:showBubbleSize val="0"/>
        </c:dLbls>
        <c:marker val="1"/>
        <c:smooth val="0"/>
        <c:axId val="1338821872"/>
        <c:axId val="1338818960"/>
      </c:lineChart>
      <c:catAx>
        <c:axId val="1338821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18960"/>
        <c:crosses val="autoZero"/>
        <c:auto val="1"/>
        <c:lblAlgn val="ctr"/>
        <c:lblOffset val="100"/>
        <c:noMultiLvlLbl val="0"/>
      </c:catAx>
      <c:valAx>
        <c:axId val="1338818960"/>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21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'KHG JALAJÄLG KOOND'!$B$5</c:f>
          <c:strCache>
            <c:ptCount val="1"/>
            <c:pt idx="0">
              <c:v>KHG JALAJÄLG MÕJUALADE KAUPA (CO₂ ekv t/a)</c:v>
            </c:pt>
          </c:strCache>
        </c:strRef>
      </c:tx>
      <c:overlay val="0"/>
      <c:spPr>
        <a:noFill/>
        <a:ln>
          <a:noFill/>
        </a:ln>
        <a:effectLst/>
      </c:spPr>
      <c:txPr>
        <a:bodyPr rot="0" spcFirstLastPara="1" vertOverflow="ellipsis" vert="horz" wrap="square" anchor="ctr" anchorCtr="1"/>
        <a:lstStyle/>
        <a:p>
          <a:pPr>
            <a:defRPr lang="en-US" sz="1050" b="1" i="0" u="none" strike="noStrike" kern="1200" cap="all" spc="120" normalizeH="0" baseline="0">
              <a:solidFill>
                <a:sysClr val="windowText" lastClr="000000">
                  <a:lumMod val="65000"/>
                  <a:lumOff val="35000"/>
                </a:sysClr>
              </a:solidFill>
              <a:latin typeface="+mn-lt"/>
              <a:ea typeface="+mn-ea"/>
              <a:cs typeface="+mn-cs"/>
            </a:defRPr>
          </a:pPr>
          <a:endParaRPr lang="et-EE"/>
        </a:p>
      </c:txPr>
    </c:title>
    <c:autoTitleDeleted val="0"/>
    <c:plotArea>
      <c:layout/>
      <c:barChart>
        <c:barDir val="col"/>
        <c:grouping val="stacked"/>
        <c:varyColors val="0"/>
        <c:ser>
          <c:idx val="2"/>
          <c:order val="0"/>
          <c:tx>
            <c:strRef>
              <c:f>'KHG JALAJÄLG KOOND'!$B$31</c:f>
              <c:strCache>
                <c:ptCount val="1"/>
                <c:pt idx="0">
                  <c:v>Mõjuala 3 ‒ muu kaudne KHG heide </c:v>
                </c:pt>
              </c:strCache>
            </c:strRef>
          </c:tx>
          <c:spPr>
            <a:solidFill>
              <a:srgbClr val="ACD2A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KOOND'!$C$31:$I$31</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5E55-4482-9EA6-96A3233C307C}"/>
            </c:ext>
          </c:extLst>
        </c:ser>
        <c:ser>
          <c:idx val="1"/>
          <c:order val="1"/>
          <c:tx>
            <c:strRef>
              <c:f>'KHG JALAJÄLG KOOND'!$B$30</c:f>
              <c:strCache>
                <c:ptCount val="1"/>
                <c:pt idx="0">
                  <c:v>Mõjuala 2 ‒ energiatarbimisest tulenev kaudne KHG heide</c:v>
                </c:pt>
              </c:strCache>
            </c:strRef>
          </c:tx>
          <c:spPr>
            <a:solidFill>
              <a:srgbClr val="C6E3D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KOOND'!$C$30:$I$30</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5E55-4482-9EA6-96A3233C307C}"/>
            </c:ext>
          </c:extLst>
        </c:ser>
        <c:ser>
          <c:idx val="0"/>
          <c:order val="2"/>
          <c:tx>
            <c:strRef>
              <c:f>'KHG JALAJÄLG KOOND'!$B$29</c:f>
              <c:strCache>
                <c:ptCount val="1"/>
                <c:pt idx="0">
                  <c:v>Mõjuala 1 ‒ majutusettevõtte omatud/kontrollitud heiteallikatest tulenev otsene KHG heide</c:v>
                </c:pt>
              </c:strCache>
            </c:strRef>
          </c:tx>
          <c:spPr>
            <a:solidFill>
              <a:srgbClr val="D9E3C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KOOND'!$C$29:$I$29</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5E55-4482-9EA6-96A3233C307C}"/>
            </c:ext>
          </c:extLst>
        </c:ser>
        <c:dLbls>
          <c:dLblPos val="ctr"/>
          <c:showLegendKey val="0"/>
          <c:showVal val="1"/>
          <c:showCatName val="0"/>
          <c:showSerName val="0"/>
          <c:showPercent val="0"/>
          <c:showBubbleSize val="0"/>
        </c:dLbls>
        <c:gapWidth val="79"/>
        <c:overlap val="100"/>
        <c:axId val="1343493296"/>
        <c:axId val="1343479984"/>
      </c:barChart>
      <c:catAx>
        <c:axId val="13434932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343479984"/>
        <c:crosses val="autoZero"/>
        <c:auto val="1"/>
        <c:lblAlgn val="ctr"/>
        <c:lblOffset val="100"/>
        <c:noMultiLvlLbl val="0"/>
      </c:catAx>
      <c:valAx>
        <c:axId val="1343479984"/>
        <c:scaling>
          <c:orientation val="minMax"/>
        </c:scaling>
        <c:delete val="0"/>
        <c:axPos val="l"/>
        <c:numFmt formatCode="0.00"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4349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ELEKTER!$D$26:$O$26</c:f>
              <c:numCache>
                <c:formatCode>#,##0.0</c:formatCode>
                <c:ptCount val="12"/>
              </c:numCache>
            </c:numRef>
          </c:val>
          <c:smooth val="0"/>
          <c:extLst>
            <c:ext xmlns:c16="http://schemas.microsoft.com/office/drawing/2014/chart" uri="{C3380CC4-5D6E-409C-BE32-E72D297353CC}">
              <c16:uniqueId val="{00000000-92A7-4AD8-88BA-BD08973BE5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ELEKTER!$C$28</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ELEKTER!$D$28:$O$28</c:f>
              <c:numCache>
                <c:formatCode>#,##0.0</c:formatCode>
                <c:ptCount val="12"/>
              </c:numCache>
            </c:numRef>
          </c:val>
          <c:smooth val="0"/>
          <c:extLst>
            <c:ext xmlns:c16="http://schemas.microsoft.com/office/drawing/2014/chart" uri="{C3380CC4-5D6E-409C-BE32-E72D297353CC}">
              <c16:uniqueId val="{00000000-2FDD-4A5A-A88B-7445BC5CECC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ELEKTER!$C$18</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ELEKTER!$D$15:$O$15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ELEKTER!$D$18:$O$18</c:f>
              <c:numCache>
                <c:formatCode>#,##0.0</c:formatCode>
                <c:ptCount val="12"/>
              </c:numCache>
            </c:numRef>
          </c:val>
          <c:smooth val="0"/>
          <c:extLst>
            <c:ext xmlns:c16="http://schemas.microsoft.com/office/drawing/2014/chart" uri="{C3380CC4-5D6E-409C-BE32-E72D297353CC}">
              <c16:uniqueId val="{00000000-3CA5-4ADE-8836-9443A9FB99A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ELEKTER!$D$16:$O$16</c:f>
              <c:numCache>
                <c:formatCode>#,##0.0</c:formatCode>
                <c:ptCount val="12"/>
              </c:numCache>
            </c:numRef>
          </c:val>
          <c:smooth val="0"/>
          <c:extLst>
            <c:ext xmlns:c16="http://schemas.microsoft.com/office/drawing/2014/chart" uri="{C3380CC4-5D6E-409C-BE32-E72D297353CC}">
              <c16:uniqueId val="{00000000-2CDA-42D3-B086-03763EBEE378}"/>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SOOJUS!$B$16</c:f>
          <c:strCache>
            <c:ptCount val="1"/>
            <c:pt idx="0">
              <c:v>2024</c:v>
            </c:pt>
          </c:strCache>
        </c:strRef>
      </c:tx>
      <c:overlay val="0"/>
      <c:txPr>
        <a:bodyPr/>
        <a:lstStyle/>
        <a:p>
          <a:pPr>
            <a:defRPr sz="1000"/>
          </a:pPr>
          <a:endParaRPr lang="et-EE"/>
        </a:p>
      </c:txPr>
    </c:title>
    <c:autoTitleDeleted val="0"/>
    <c:plotArea>
      <c:layout/>
      <c:lineChart>
        <c:grouping val="standard"/>
        <c:varyColors val="0"/>
        <c:ser>
          <c:idx val="1"/>
          <c:order val="0"/>
          <c:tx>
            <c:strRef>
              <c:f>SOOJUS!$C$16</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SOOJUS!$D$16:$O$16</c:f>
              <c:numCache>
                <c:formatCode>#,##0.0</c:formatCode>
                <c:ptCount val="12"/>
              </c:numCache>
            </c:numRef>
          </c:val>
          <c:smooth val="0"/>
          <c:extLst>
            <c:ext xmlns:c16="http://schemas.microsoft.com/office/drawing/2014/chart" uri="{C3380CC4-5D6E-409C-BE32-E72D297353CC}">
              <c16:uniqueId val="{00000000-C567-4C93-9F68-9C7887B50E7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SOOJUS!$B$19</c:f>
          <c:strCache>
            <c:ptCount val="1"/>
            <c:pt idx="0">
              <c:v>2025</c:v>
            </c:pt>
          </c:strCache>
        </c:strRef>
      </c:tx>
      <c:overlay val="0"/>
      <c:txPr>
        <a:bodyPr/>
        <a:lstStyle/>
        <a:p>
          <a:pPr>
            <a:defRPr sz="1000"/>
          </a:pPr>
          <a:endParaRPr lang="et-EE"/>
        </a:p>
      </c:txPr>
    </c:title>
    <c:autoTitleDeleted val="0"/>
    <c:plotArea>
      <c:layout/>
      <c:lineChart>
        <c:grouping val="standard"/>
        <c:varyColors val="0"/>
        <c:ser>
          <c:idx val="1"/>
          <c:order val="0"/>
          <c:tx>
            <c:strRef>
              <c:f>SOOJUS!$C$19</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SOOJUS!$D$19:$O$19</c:f>
              <c:numCache>
                <c:formatCode>#,##0.0</c:formatCode>
                <c:ptCount val="12"/>
              </c:numCache>
            </c:numRef>
          </c:val>
          <c:smooth val="0"/>
          <c:extLst>
            <c:ext xmlns:c16="http://schemas.microsoft.com/office/drawing/2014/chart" uri="{C3380CC4-5D6E-409C-BE32-E72D297353CC}">
              <c16:uniqueId val="{00000000-6C74-4E3C-83FF-281E55084A5B}"/>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size">
        <cx:f>_xlchart.v1.0</cx:f>
      </cx:numDim>
    </cx:data>
  </cx:chartData>
  <cx:chart>
    <cx:title pos="t" align="ctr" overlay="0">
      <cx:tx>
        <cx:rich>
          <a:bodyPr spcFirstLastPara="1" vertOverflow="ellipsis" horzOverflow="overflow" wrap="square" lIns="0" tIns="0" rIns="0" bIns="0" anchor="ctr" anchorCtr="1"/>
          <a:lstStyle/>
          <a:p>
            <a:pPr algn="ctr" rtl="0">
              <a:defRPr sz="1050" spc="100" baseline="0">
                <a:latin typeface="+mn-lt"/>
              </a:defRPr>
            </a:pPr>
            <a:r>
              <a:rPr lang="et-EE" sz="1050" b="1" i="0" u="none" strike="noStrike" kern="1200" spc="100" baseline="0" dirty="0">
                <a:solidFill>
                  <a:sysClr val="windowText" lastClr="000000">
                    <a:lumMod val="65000"/>
                    <a:lumOff val="35000"/>
                  </a:sysClr>
                </a:solidFill>
                <a:latin typeface="+mn-lt"/>
                <a:ea typeface="+mn-ea"/>
                <a:cs typeface="+mn-cs"/>
              </a:rPr>
              <a:t>SÜSINIKU</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JALAJÄLG</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a:t>
            </a:r>
          </a:p>
        </cx:rich>
      </cx:tx>
    </cx:title>
    <cx:plotArea>
      <cx:plotAreaRegion>
        <cx:series layoutId="sunburst" uniqueId="{177A02C2-F34F-4C81-BD15-F970E0CD2CE2}">
          <cx:dataPt idx="0">
            <cx:spPr>
              <a:solidFill>
                <a:srgbClr val="D9E3C6"/>
              </a:solidFill>
            </cx:spPr>
          </cx:dataPt>
          <cx:dataPt idx="3">
            <cx:spPr>
              <a:solidFill>
                <a:srgbClr val="C6E3D0"/>
              </a:solidFill>
            </cx:spPr>
          </cx:dataPt>
          <cx:dataPt idx="7">
            <cx:spPr>
              <a:solidFill>
                <a:srgbClr val="ACD2A4"/>
              </a:solidFill>
            </cx:spPr>
          </cx:dataPt>
          <cx:data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1" value="1"/>
            <cx:separator>
</cx:separator>
            <cx:dataLabel idx="5">
              <cx:txPr>
                <a:bodyPr spcFirstLastPara="1" vertOverflow="ellipsis" horzOverflow="overflow" wrap="square" lIns="0" tIns="0" rIns="0" bIns="0" anchor="ctr" anchorCtr="1"/>
                <a:lstStyle/>
                <a:p>
                  <a:pPr algn="ctr" rtl="0">
                    <a:defRPr>
                      <a:solidFill>
                        <a:schemeClr val="tx1"/>
                      </a:solidFill>
                    </a:defRPr>
                  </a:pPr>
                  <a:r>
                    <a:rPr lang="et-EE" sz="900" b="0" i="0" u="none" strike="noStrike" baseline="0">
                      <a:solidFill>
                        <a:schemeClr val="tx1"/>
                      </a:solidFill>
                      <a:latin typeface="Calibri" panose="020F0502020204030204"/>
                    </a:rPr>
                    <a:t>Majutusettevõtte küte
18,6%</a:t>
                  </a:r>
                </a:p>
              </cx:txPr>
              <cx:visibility seriesName="0" categoryName="1" value="1"/>
              <cx:separator>
</cx:separator>
            </cx:dataLabel>
          </cx:dataLabels>
          <cx:dataId val="0"/>
        </cx:series>
      </cx:plotAreaRegion>
    </cx:plotArea>
  </cx:chart>
  <cx:spPr>
    <a:ln>
      <a:noFill/>
    </a:ln>
  </cx:spPr>
</cx: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85">
  <cs:axisTitle>
    <cs:lnRef idx="0"/>
    <cs:fillRef idx="0"/>
    <cs:effectRef idx="0"/>
    <cs:fontRef idx="minor">
      <a:schemeClr val="tx2"/>
    </cs:fontRef>
    <cs:defRPr sz="9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dk1"/>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2"/>
    </cs:fontRef>
    <cs:spPr>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ln>
        <a:solidFill>
          <a:schemeClr val="bg1"/>
        </a:solidFill>
      </a:ln>
    </cs:spPr>
  </cs:dataPoint>
  <cs:dataPoint3D>
    <cs:lnRef idx="0"/>
    <cs:fillRef idx="0">
      <cs:styleClr val="auto"/>
    </cs:fillRef>
    <cs:effectRef idx="0"/>
    <cs:fontRef idx="minor">
      <a:schemeClr val="tx2"/>
    </cs:fontRef>
    <cs:spPr>
      <a:solidFill>
        <a:schemeClr val="phClr"/>
      </a:solidFill>
    </cs:spPr>
  </cs:dataPoint3D>
  <cs:dataPointLine>
    <cs:lnRef idx="0">
      <cs:styleClr val="auto"/>
    </cs:lnRef>
    <cs:fillRef idx="0"/>
    <cs:effectRef idx="0"/>
    <cs:fontRef idx="minor">
      <a:schemeClr val="tx2"/>
    </cs:fontRef>
    <cs:spPr>
      <a:ln w="28575" cap="rnd">
        <a:solidFill>
          <a:schemeClr val="phClr"/>
        </a:solidFill>
        <a:round/>
      </a:ln>
    </cs:spPr>
  </cs:dataPointLine>
  <cs:dataPointMarker>
    <cs:lnRef idx="0"/>
    <cs:fillRef idx="0">
      <cs:styleClr val="auto"/>
    </cs:fillRef>
    <cs:effectRef idx="0"/>
    <cs:fontRef idx="minor">
      <a:schemeClr val="tx2"/>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2"/>
    </cs:fontRef>
    <cs:spPr>
      <a:ln w="2857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2"/>
    </cs:fontRef>
    <cs:defRPr sz="9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cs:seriesAxis>
  <cs:seriesLine>
    <cs:lnRef idx="0"/>
    <cs:fillRef idx="0"/>
    <cs:effectRef idx="0"/>
    <cs:fontRef idx="minor">
      <a:schemeClr val="tx2"/>
    </cs:fontRef>
    <cs:spPr>
      <a:ln w="9525" cap="flat">
        <a:solidFill>
          <a:srgbClr val="D9D9D9"/>
        </a:solidFill>
        <a:round/>
      </a:ln>
    </cs:spPr>
  </cs:seriesLine>
  <cs:title>
    <cs:lnRef idx="0"/>
    <cs:fillRef idx="0"/>
    <cs:effectRef idx="0"/>
    <cs:fontRef idx="minor">
      <a:schemeClr val="tx2"/>
    </cs:fontRef>
    <cs:defRPr sz="1600" b="1"/>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9.xml"/><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chart" Target="../charts/chart25.xml"/><Relationship Id="rId9"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2" Type="http://schemas.microsoft.com/office/2014/relationships/chartEx" Target="../charts/chartEx1.xml"/><Relationship Id="rId1" Type="http://schemas.openxmlformats.org/officeDocument/2006/relationships/chart" Target="../charts/chart32.xml"/></Relationships>
</file>

<file path=xl/drawings/drawing1.xml><?xml version="1.0" encoding="utf-8"?>
<xdr:wsDr xmlns:xdr="http://schemas.openxmlformats.org/drawingml/2006/spreadsheetDrawing" xmlns:a="http://schemas.openxmlformats.org/drawingml/2006/main">
  <xdr:twoCellAnchor editAs="oneCell">
    <xdr:from>
      <xdr:col>2</xdr:col>
      <xdr:colOff>6248400</xdr:colOff>
      <xdr:row>0</xdr:row>
      <xdr:rowOff>66675</xdr:rowOff>
    </xdr:from>
    <xdr:to>
      <xdr:col>2</xdr:col>
      <xdr:colOff>7134225</xdr:colOff>
      <xdr:row>5</xdr:row>
      <xdr:rowOff>22778</xdr:rowOff>
    </xdr:to>
    <xdr:pic>
      <xdr:nvPicPr>
        <xdr:cNvPr id="2" name="Pilt 3">
          <a:extLst>
            <a:ext uri="{FF2B5EF4-FFF2-40B4-BE49-F238E27FC236}">
              <a16:creationId xmlns:a16="http://schemas.microsoft.com/office/drawing/2014/main" id="{77402917-8140-4685-8A28-B1B73673B7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58100" y="66675"/>
          <a:ext cx="885825" cy="908603"/>
        </a:xfrm>
        <a:prstGeom prst="rect">
          <a:avLst/>
        </a:prstGeom>
      </xdr:spPr>
    </xdr:pic>
    <xdr:clientData/>
  </xdr:twoCellAnchor>
  <xdr:twoCellAnchor editAs="oneCell">
    <xdr:from>
      <xdr:col>1</xdr:col>
      <xdr:colOff>66675</xdr:colOff>
      <xdr:row>0</xdr:row>
      <xdr:rowOff>95251</xdr:rowOff>
    </xdr:from>
    <xdr:to>
      <xdr:col>1</xdr:col>
      <xdr:colOff>885825</xdr:colOff>
      <xdr:row>5</xdr:row>
      <xdr:rowOff>174199</xdr:rowOff>
    </xdr:to>
    <xdr:pic>
      <xdr:nvPicPr>
        <xdr:cNvPr id="3" name="Pilt 2">
          <a:extLst>
            <a:ext uri="{FF2B5EF4-FFF2-40B4-BE49-F238E27FC236}">
              <a16:creationId xmlns:a16="http://schemas.microsoft.com/office/drawing/2014/main" id="{A22B304B-EBB5-4A01-9B26-69B9C77F01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1"/>
          <a:ext cx="819150" cy="1031448"/>
        </a:xfrm>
        <a:prstGeom prst="rect">
          <a:avLst/>
        </a:prstGeom>
      </xdr:spPr>
    </xdr:pic>
    <xdr:clientData/>
  </xdr:twoCellAnchor>
  <xdr:twoCellAnchor editAs="oneCell">
    <xdr:from>
      <xdr:col>2</xdr:col>
      <xdr:colOff>4791329</xdr:colOff>
      <xdr:row>0</xdr:row>
      <xdr:rowOff>171449</xdr:rowOff>
    </xdr:from>
    <xdr:to>
      <xdr:col>2</xdr:col>
      <xdr:colOff>6170866</xdr:colOff>
      <xdr:row>4</xdr:row>
      <xdr:rowOff>12699</xdr:rowOff>
    </xdr:to>
    <xdr:pic>
      <xdr:nvPicPr>
        <xdr:cNvPr id="4" name="Pilt 3">
          <a:extLst>
            <a:ext uri="{FF2B5EF4-FFF2-40B4-BE49-F238E27FC236}">
              <a16:creationId xmlns:a16="http://schemas.microsoft.com/office/drawing/2014/main" id="{0A513EFC-3418-4354-A39B-51347068488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6201029" y="171449"/>
          <a:ext cx="1379537" cy="603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196933</xdr:colOff>
      <xdr:row>18</xdr:row>
      <xdr:rowOff>126644</xdr:rowOff>
    </xdr:from>
    <xdr:to>
      <xdr:col>26</xdr:col>
      <xdr:colOff>501058</xdr:colOff>
      <xdr:row>22</xdr:row>
      <xdr:rowOff>65594</xdr:rowOff>
    </xdr:to>
    <xdr:graphicFrame macro="">
      <xdr:nvGraphicFramePr>
        <xdr:cNvPr id="12" name="Diagramm 4">
          <a:extLst>
            <a:ext uri="{FF2B5EF4-FFF2-40B4-BE49-F238E27FC236}">
              <a16:creationId xmlns:a16="http://schemas.microsoft.com/office/drawing/2014/main" id="{A7602BE8-8E5B-4ECF-9E99-73FC0932D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196933</xdr:colOff>
      <xdr:row>22</xdr:row>
      <xdr:rowOff>85191</xdr:rowOff>
    </xdr:from>
    <xdr:to>
      <xdr:col>26</xdr:col>
      <xdr:colOff>501058</xdr:colOff>
      <xdr:row>26</xdr:row>
      <xdr:rowOff>24141</xdr:rowOff>
    </xdr:to>
    <xdr:graphicFrame macro="">
      <xdr:nvGraphicFramePr>
        <xdr:cNvPr id="13" name="Diagramm 5">
          <a:extLst>
            <a:ext uri="{FF2B5EF4-FFF2-40B4-BE49-F238E27FC236}">
              <a16:creationId xmlns:a16="http://schemas.microsoft.com/office/drawing/2014/main" id="{6EEFADA6-53DE-4C8A-BCB8-D632E14EF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196933</xdr:colOff>
      <xdr:row>26</xdr:row>
      <xdr:rowOff>43738</xdr:rowOff>
    </xdr:from>
    <xdr:to>
      <xdr:col>26</xdr:col>
      <xdr:colOff>501058</xdr:colOff>
      <xdr:row>29</xdr:row>
      <xdr:rowOff>173188</xdr:rowOff>
    </xdr:to>
    <xdr:graphicFrame macro="">
      <xdr:nvGraphicFramePr>
        <xdr:cNvPr id="14" name="Diagramm 6">
          <a:extLst>
            <a:ext uri="{FF2B5EF4-FFF2-40B4-BE49-F238E27FC236}">
              <a16:creationId xmlns:a16="http://schemas.microsoft.com/office/drawing/2014/main" id="{FB9660E0-9455-4D3B-AA26-EAD8F7E7C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196933</xdr:colOff>
      <xdr:row>30</xdr:row>
      <xdr:rowOff>2285</xdr:rowOff>
    </xdr:from>
    <xdr:to>
      <xdr:col>26</xdr:col>
      <xdr:colOff>501058</xdr:colOff>
      <xdr:row>33</xdr:row>
      <xdr:rowOff>150785</xdr:rowOff>
    </xdr:to>
    <xdr:graphicFrame macro="">
      <xdr:nvGraphicFramePr>
        <xdr:cNvPr id="15" name="Diagramm 7">
          <a:extLst>
            <a:ext uri="{FF2B5EF4-FFF2-40B4-BE49-F238E27FC236}">
              <a16:creationId xmlns:a16="http://schemas.microsoft.com/office/drawing/2014/main" id="{B415B845-24DA-4944-BEDC-24FB3ACF1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196933</xdr:colOff>
      <xdr:row>33</xdr:row>
      <xdr:rowOff>170380</xdr:rowOff>
    </xdr:from>
    <xdr:to>
      <xdr:col>26</xdr:col>
      <xdr:colOff>501058</xdr:colOff>
      <xdr:row>37</xdr:row>
      <xdr:rowOff>128380</xdr:rowOff>
    </xdr:to>
    <xdr:graphicFrame macro="">
      <xdr:nvGraphicFramePr>
        <xdr:cNvPr id="16" name="Diagramm 8">
          <a:extLst>
            <a:ext uri="{FF2B5EF4-FFF2-40B4-BE49-F238E27FC236}">
              <a16:creationId xmlns:a16="http://schemas.microsoft.com/office/drawing/2014/main" id="{365EA2A0-F775-4FEE-960C-36A89CBFA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196933</xdr:colOff>
      <xdr:row>14</xdr:row>
      <xdr:rowOff>349072</xdr:rowOff>
    </xdr:from>
    <xdr:to>
      <xdr:col>26</xdr:col>
      <xdr:colOff>501058</xdr:colOff>
      <xdr:row>18</xdr:row>
      <xdr:rowOff>107047</xdr:rowOff>
    </xdr:to>
    <xdr:graphicFrame macro="">
      <xdr:nvGraphicFramePr>
        <xdr:cNvPr id="11" name="Diagramm 2">
          <a:extLst>
            <a:ext uri="{FF2B5EF4-FFF2-40B4-BE49-F238E27FC236}">
              <a16:creationId xmlns:a16="http://schemas.microsoft.com/office/drawing/2014/main" id="{CDF05889-369F-4FCF-A24E-BEA7CF8C4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196933</xdr:colOff>
      <xdr:row>11</xdr:row>
      <xdr:rowOff>171450</xdr:rowOff>
    </xdr:from>
    <xdr:to>
      <xdr:col>26</xdr:col>
      <xdr:colOff>501058</xdr:colOff>
      <xdr:row>14</xdr:row>
      <xdr:rowOff>329475</xdr:rowOff>
    </xdr:to>
    <xdr:graphicFrame macro="">
      <xdr:nvGraphicFramePr>
        <xdr:cNvPr id="4" name="Diagramm 9">
          <a:extLst>
            <a:ext uri="{FF2B5EF4-FFF2-40B4-BE49-F238E27FC236}">
              <a16:creationId xmlns:a16="http://schemas.microsoft.com/office/drawing/2014/main" id="{B6F2D842-1E0C-4185-AB7D-3C8D63A56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11220</xdr:colOff>
      <xdr:row>13</xdr:row>
      <xdr:rowOff>104775</xdr:rowOff>
    </xdr:from>
    <xdr:to>
      <xdr:col>28</xdr:col>
      <xdr:colOff>534420</xdr:colOff>
      <xdr:row>16</xdr:row>
      <xdr:rowOff>108450</xdr:rowOff>
    </xdr:to>
    <xdr:graphicFrame macro="">
      <xdr:nvGraphicFramePr>
        <xdr:cNvPr id="3" name="Diagramm 1">
          <a:extLst>
            <a:ext uri="{FF2B5EF4-FFF2-40B4-BE49-F238E27FC236}">
              <a16:creationId xmlns:a16="http://schemas.microsoft.com/office/drawing/2014/main" id="{5D71CD7F-910C-4485-9458-0000A7827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11220</xdr:colOff>
      <xdr:row>16</xdr:row>
      <xdr:rowOff>13688</xdr:rowOff>
    </xdr:from>
    <xdr:to>
      <xdr:col>28</xdr:col>
      <xdr:colOff>534420</xdr:colOff>
      <xdr:row>21</xdr:row>
      <xdr:rowOff>122138</xdr:rowOff>
    </xdr:to>
    <xdr:graphicFrame macro="">
      <xdr:nvGraphicFramePr>
        <xdr:cNvPr id="4" name="Diagramm 8">
          <a:extLst>
            <a:ext uri="{FF2B5EF4-FFF2-40B4-BE49-F238E27FC236}">
              <a16:creationId xmlns:a16="http://schemas.microsoft.com/office/drawing/2014/main" id="{052ACD3D-D265-4803-B901-D0CA89D5D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11220</xdr:colOff>
      <xdr:row>21</xdr:row>
      <xdr:rowOff>27376</xdr:rowOff>
    </xdr:from>
    <xdr:to>
      <xdr:col>28</xdr:col>
      <xdr:colOff>534420</xdr:colOff>
      <xdr:row>26</xdr:row>
      <xdr:rowOff>145351</xdr:rowOff>
    </xdr:to>
    <xdr:graphicFrame macro="">
      <xdr:nvGraphicFramePr>
        <xdr:cNvPr id="5" name="Diagramm 9">
          <a:extLst>
            <a:ext uri="{FF2B5EF4-FFF2-40B4-BE49-F238E27FC236}">
              <a16:creationId xmlns:a16="http://schemas.microsoft.com/office/drawing/2014/main" id="{EFA50349-939A-4F9C-B751-020D896F6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11220</xdr:colOff>
      <xdr:row>26</xdr:row>
      <xdr:rowOff>50589</xdr:rowOff>
    </xdr:from>
    <xdr:to>
      <xdr:col>28</xdr:col>
      <xdr:colOff>534420</xdr:colOff>
      <xdr:row>31</xdr:row>
      <xdr:rowOff>159039</xdr:rowOff>
    </xdr:to>
    <xdr:graphicFrame macro="">
      <xdr:nvGraphicFramePr>
        <xdr:cNvPr id="6" name="Diagramm 10">
          <a:extLst>
            <a:ext uri="{FF2B5EF4-FFF2-40B4-BE49-F238E27FC236}">
              <a16:creationId xmlns:a16="http://schemas.microsoft.com/office/drawing/2014/main" id="{11409333-DE12-48C7-9646-5102F5B83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11220</xdr:colOff>
      <xdr:row>31</xdr:row>
      <xdr:rowOff>64277</xdr:rowOff>
    </xdr:from>
    <xdr:to>
      <xdr:col>28</xdr:col>
      <xdr:colOff>534420</xdr:colOff>
      <xdr:row>36</xdr:row>
      <xdr:rowOff>172727</xdr:rowOff>
    </xdr:to>
    <xdr:graphicFrame macro="">
      <xdr:nvGraphicFramePr>
        <xdr:cNvPr id="7" name="Diagramm 11">
          <a:extLst>
            <a:ext uri="{FF2B5EF4-FFF2-40B4-BE49-F238E27FC236}">
              <a16:creationId xmlns:a16="http://schemas.microsoft.com/office/drawing/2014/main" id="{681E2C1E-EA61-4E5C-B8C2-1A8EEE4A5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11220</xdr:colOff>
      <xdr:row>36</xdr:row>
      <xdr:rowOff>77965</xdr:rowOff>
    </xdr:from>
    <xdr:to>
      <xdr:col>28</xdr:col>
      <xdr:colOff>534420</xdr:colOff>
      <xdr:row>42</xdr:row>
      <xdr:rowOff>14965</xdr:rowOff>
    </xdr:to>
    <xdr:graphicFrame macro="">
      <xdr:nvGraphicFramePr>
        <xdr:cNvPr id="8" name="Diagramm 12">
          <a:extLst>
            <a:ext uri="{FF2B5EF4-FFF2-40B4-BE49-F238E27FC236}">
              <a16:creationId xmlns:a16="http://schemas.microsoft.com/office/drawing/2014/main" id="{80118485-F7FF-41E9-BB90-6A33CB62BC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11220</xdr:colOff>
      <xdr:row>41</xdr:row>
      <xdr:rowOff>110700</xdr:rowOff>
    </xdr:from>
    <xdr:to>
      <xdr:col>28</xdr:col>
      <xdr:colOff>534420</xdr:colOff>
      <xdr:row>47</xdr:row>
      <xdr:rowOff>47700</xdr:rowOff>
    </xdr:to>
    <xdr:graphicFrame macro="">
      <xdr:nvGraphicFramePr>
        <xdr:cNvPr id="15" name="Diagramm 13">
          <a:extLst>
            <a:ext uri="{FF2B5EF4-FFF2-40B4-BE49-F238E27FC236}">
              <a16:creationId xmlns:a16="http://schemas.microsoft.com/office/drawing/2014/main" id="{3F483F35-D7A5-4A72-B0E8-56994CE0B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56092</xdr:colOff>
      <xdr:row>18</xdr:row>
      <xdr:rowOff>170673</xdr:rowOff>
    </xdr:from>
    <xdr:to>
      <xdr:col>25</xdr:col>
      <xdr:colOff>150667</xdr:colOff>
      <xdr:row>22</xdr:row>
      <xdr:rowOff>166773</xdr:rowOff>
    </xdr:to>
    <xdr:graphicFrame macro="">
      <xdr:nvGraphicFramePr>
        <xdr:cNvPr id="11" name="Diagramm 3">
          <a:extLst>
            <a:ext uri="{FF2B5EF4-FFF2-40B4-BE49-F238E27FC236}">
              <a16:creationId xmlns:a16="http://schemas.microsoft.com/office/drawing/2014/main" id="{6EBFF006-3246-4116-8210-BFF87AC890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56092</xdr:colOff>
      <xdr:row>23</xdr:row>
      <xdr:rowOff>41803</xdr:rowOff>
    </xdr:from>
    <xdr:to>
      <xdr:col>25</xdr:col>
      <xdr:colOff>150667</xdr:colOff>
      <xdr:row>27</xdr:row>
      <xdr:rowOff>37903</xdr:rowOff>
    </xdr:to>
    <xdr:graphicFrame macro="">
      <xdr:nvGraphicFramePr>
        <xdr:cNvPr id="12" name="Diagramm 4">
          <a:extLst>
            <a:ext uri="{FF2B5EF4-FFF2-40B4-BE49-F238E27FC236}">
              <a16:creationId xmlns:a16="http://schemas.microsoft.com/office/drawing/2014/main" id="{948BB65D-2F62-4D06-AAC1-0E68DCBBE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56092</xdr:colOff>
      <xdr:row>27</xdr:row>
      <xdr:rowOff>93908</xdr:rowOff>
    </xdr:from>
    <xdr:to>
      <xdr:col>25</xdr:col>
      <xdr:colOff>150667</xdr:colOff>
      <xdr:row>31</xdr:row>
      <xdr:rowOff>90008</xdr:rowOff>
    </xdr:to>
    <xdr:graphicFrame macro="">
      <xdr:nvGraphicFramePr>
        <xdr:cNvPr id="13" name="Diagramm 5">
          <a:extLst>
            <a:ext uri="{FF2B5EF4-FFF2-40B4-BE49-F238E27FC236}">
              <a16:creationId xmlns:a16="http://schemas.microsoft.com/office/drawing/2014/main" id="{39A521B7-4117-480C-94E7-B6602EA48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56092</xdr:colOff>
      <xdr:row>31</xdr:row>
      <xdr:rowOff>146013</xdr:rowOff>
    </xdr:from>
    <xdr:to>
      <xdr:col>25</xdr:col>
      <xdr:colOff>150667</xdr:colOff>
      <xdr:row>35</xdr:row>
      <xdr:rowOff>142113</xdr:rowOff>
    </xdr:to>
    <xdr:graphicFrame macro="">
      <xdr:nvGraphicFramePr>
        <xdr:cNvPr id="14" name="Diagramm 6">
          <a:extLst>
            <a:ext uri="{FF2B5EF4-FFF2-40B4-BE49-F238E27FC236}">
              <a16:creationId xmlns:a16="http://schemas.microsoft.com/office/drawing/2014/main" id="{BD772A44-9A6E-4655-AAF4-2E73E2242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56092</xdr:colOff>
      <xdr:row>36</xdr:row>
      <xdr:rowOff>17144</xdr:rowOff>
    </xdr:from>
    <xdr:to>
      <xdr:col>25</xdr:col>
      <xdr:colOff>150667</xdr:colOff>
      <xdr:row>40</xdr:row>
      <xdr:rowOff>13244</xdr:rowOff>
    </xdr:to>
    <xdr:graphicFrame macro="">
      <xdr:nvGraphicFramePr>
        <xdr:cNvPr id="15" name="Diagramm 7">
          <a:extLst>
            <a:ext uri="{FF2B5EF4-FFF2-40B4-BE49-F238E27FC236}">
              <a16:creationId xmlns:a16="http://schemas.microsoft.com/office/drawing/2014/main" id="{9EDB092B-47DD-484F-A092-F3EAB16E5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56092</xdr:colOff>
      <xdr:row>11</xdr:row>
      <xdr:rowOff>85513</xdr:rowOff>
    </xdr:from>
    <xdr:to>
      <xdr:col>25</xdr:col>
      <xdr:colOff>150667</xdr:colOff>
      <xdr:row>14</xdr:row>
      <xdr:rowOff>262588</xdr:rowOff>
    </xdr:to>
    <xdr:graphicFrame macro="">
      <xdr:nvGraphicFramePr>
        <xdr:cNvPr id="2" name="Diagramm 8">
          <a:extLst>
            <a:ext uri="{FF2B5EF4-FFF2-40B4-BE49-F238E27FC236}">
              <a16:creationId xmlns:a16="http://schemas.microsoft.com/office/drawing/2014/main" id="{C75D630C-9334-4F38-8709-C6B9CC264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56092</xdr:colOff>
      <xdr:row>14</xdr:row>
      <xdr:rowOff>318593</xdr:rowOff>
    </xdr:from>
    <xdr:to>
      <xdr:col>25</xdr:col>
      <xdr:colOff>150667</xdr:colOff>
      <xdr:row>18</xdr:row>
      <xdr:rowOff>114668</xdr:rowOff>
    </xdr:to>
    <xdr:graphicFrame macro="">
      <xdr:nvGraphicFramePr>
        <xdr:cNvPr id="3" name="Diagramm 9">
          <a:extLst>
            <a:ext uri="{FF2B5EF4-FFF2-40B4-BE49-F238E27FC236}">
              <a16:creationId xmlns:a16="http://schemas.microsoft.com/office/drawing/2014/main" id="{C466B3B2-FCD0-4375-B736-68F2C897E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85725</xdr:colOff>
      <xdr:row>37</xdr:row>
      <xdr:rowOff>171449</xdr:rowOff>
    </xdr:from>
    <xdr:to>
      <xdr:col>25</xdr:col>
      <xdr:colOff>390525</xdr:colOff>
      <xdr:row>45</xdr:row>
      <xdr:rowOff>106499</xdr:rowOff>
    </xdr:to>
    <xdr:graphicFrame macro="">
      <xdr:nvGraphicFramePr>
        <xdr:cNvPr id="6" name="Diagramm 5">
          <a:extLst>
            <a:ext uri="{FF2B5EF4-FFF2-40B4-BE49-F238E27FC236}">
              <a16:creationId xmlns:a16="http://schemas.microsoft.com/office/drawing/2014/main" id="{9EDECE69-67A7-B98C-6956-D2EB68B9BD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85725</xdr:colOff>
      <xdr:row>4</xdr:row>
      <xdr:rowOff>161925</xdr:rowOff>
    </xdr:from>
    <xdr:to>
      <xdr:col>25</xdr:col>
      <xdr:colOff>390525</xdr:colOff>
      <xdr:row>10</xdr:row>
      <xdr:rowOff>87450</xdr:rowOff>
    </xdr:to>
    <xdr:graphicFrame macro="">
      <xdr:nvGraphicFramePr>
        <xdr:cNvPr id="7" name="Diagramm 6">
          <a:extLst>
            <a:ext uri="{FF2B5EF4-FFF2-40B4-BE49-F238E27FC236}">
              <a16:creationId xmlns:a16="http://schemas.microsoft.com/office/drawing/2014/main" id="{699EB422-A222-C687-C6E2-EDAF924CD6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563880</xdr:colOff>
      <xdr:row>4</xdr:row>
      <xdr:rowOff>161925</xdr:rowOff>
    </xdr:from>
    <xdr:to>
      <xdr:col>17</xdr:col>
      <xdr:colOff>259080</xdr:colOff>
      <xdr:row>10</xdr:row>
      <xdr:rowOff>87450</xdr:rowOff>
    </xdr:to>
    <xdr:graphicFrame macro="">
      <xdr:nvGraphicFramePr>
        <xdr:cNvPr id="4" name="Diagramm 3">
          <a:extLst>
            <a:ext uri="{FF2B5EF4-FFF2-40B4-BE49-F238E27FC236}">
              <a16:creationId xmlns:a16="http://schemas.microsoft.com/office/drawing/2014/main" id="{E8803764-B21D-32DE-708D-14298A4D03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563880</xdr:colOff>
      <xdr:row>12</xdr:row>
      <xdr:rowOff>57151</xdr:rowOff>
    </xdr:from>
    <xdr:to>
      <xdr:col>17</xdr:col>
      <xdr:colOff>259080</xdr:colOff>
      <xdr:row>19</xdr:row>
      <xdr:rowOff>173176</xdr:rowOff>
    </xdr:to>
    <xdr:graphicFrame macro="">
      <xdr:nvGraphicFramePr>
        <xdr:cNvPr id="5" name="Diagramm 4">
          <a:extLst>
            <a:ext uri="{FF2B5EF4-FFF2-40B4-BE49-F238E27FC236}">
              <a16:creationId xmlns:a16="http://schemas.microsoft.com/office/drawing/2014/main" id="{5ED24E01-00A7-F5B1-48BE-34AED3C1C9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85725</xdr:colOff>
      <xdr:row>12</xdr:row>
      <xdr:rowOff>57151</xdr:rowOff>
    </xdr:from>
    <xdr:to>
      <xdr:col>25</xdr:col>
      <xdr:colOff>390525</xdr:colOff>
      <xdr:row>19</xdr:row>
      <xdr:rowOff>173176</xdr:rowOff>
    </xdr:to>
    <xdr:graphicFrame macro="">
      <xdr:nvGraphicFramePr>
        <xdr:cNvPr id="8" name="Diagramm 7">
          <a:extLst>
            <a:ext uri="{FF2B5EF4-FFF2-40B4-BE49-F238E27FC236}">
              <a16:creationId xmlns:a16="http://schemas.microsoft.com/office/drawing/2014/main" id="{9BDF8593-7FF9-F27B-5DC3-6AFF08A56C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563880</xdr:colOff>
      <xdr:row>20</xdr:row>
      <xdr:rowOff>180974</xdr:rowOff>
    </xdr:from>
    <xdr:to>
      <xdr:col>17</xdr:col>
      <xdr:colOff>259080</xdr:colOff>
      <xdr:row>28</xdr:row>
      <xdr:rowOff>135074</xdr:rowOff>
    </xdr:to>
    <xdr:graphicFrame macro="">
      <xdr:nvGraphicFramePr>
        <xdr:cNvPr id="9" name="Diagramm 8">
          <a:extLst>
            <a:ext uri="{FF2B5EF4-FFF2-40B4-BE49-F238E27FC236}">
              <a16:creationId xmlns:a16="http://schemas.microsoft.com/office/drawing/2014/main" id="{9B7D675A-C184-90D3-52B9-06DC50F10A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85725</xdr:colOff>
      <xdr:row>20</xdr:row>
      <xdr:rowOff>180974</xdr:rowOff>
    </xdr:from>
    <xdr:to>
      <xdr:col>25</xdr:col>
      <xdr:colOff>390525</xdr:colOff>
      <xdr:row>28</xdr:row>
      <xdr:rowOff>135074</xdr:rowOff>
    </xdr:to>
    <xdr:graphicFrame macro="">
      <xdr:nvGraphicFramePr>
        <xdr:cNvPr id="10" name="Diagramm 9">
          <a:extLst>
            <a:ext uri="{FF2B5EF4-FFF2-40B4-BE49-F238E27FC236}">
              <a16:creationId xmlns:a16="http://schemas.microsoft.com/office/drawing/2014/main" id="{A0D25EF0-DEB3-390C-1E2E-C1FA64A819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563880</xdr:colOff>
      <xdr:row>30</xdr:row>
      <xdr:rowOff>9525</xdr:rowOff>
    </xdr:from>
    <xdr:to>
      <xdr:col>17</xdr:col>
      <xdr:colOff>259080</xdr:colOff>
      <xdr:row>35</xdr:row>
      <xdr:rowOff>135075</xdr:rowOff>
    </xdr:to>
    <xdr:graphicFrame macro="">
      <xdr:nvGraphicFramePr>
        <xdr:cNvPr id="11" name="Diagramm 10">
          <a:extLst>
            <a:ext uri="{FF2B5EF4-FFF2-40B4-BE49-F238E27FC236}">
              <a16:creationId xmlns:a16="http://schemas.microsoft.com/office/drawing/2014/main" id="{BA2B8232-05A6-9CB1-DFDE-14C70EF3B3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85725</xdr:colOff>
      <xdr:row>29</xdr:row>
      <xdr:rowOff>171449</xdr:rowOff>
    </xdr:from>
    <xdr:to>
      <xdr:col>25</xdr:col>
      <xdr:colOff>390525</xdr:colOff>
      <xdr:row>35</xdr:row>
      <xdr:rowOff>106499</xdr:rowOff>
    </xdr:to>
    <xdr:graphicFrame macro="">
      <xdr:nvGraphicFramePr>
        <xdr:cNvPr id="12" name="Diagramm 11">
          <a:extLst>
            <a:ext uri="{FF2B5EF4-FFF2-40B4-BE49-F238E27FC236}">
              <a16:creationId xmlns:a16="http://schemas.microsoft.com/office/drawing/2014/main" id="{9ABADE95-4DDF-CBD4-C584-7DE174EAF9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563880</xdr:colOff>
      <xdr:row>37</xdr:row>
      <xdr:rowOff>171450</xdr:rowOff>
    </xdr:from>
    <xdr:to>
      <xdr:col>17</xdr:col>
      <xdr:colOff>295080</xdr:colOff>
      <xdr:row>52</xdr:row>
      <xdr:rowOff>76200</xdr:rowOff>
    </xdr:to>
    <xdr:graphicFrame macro="">
      <xdr:nvGraphicFramePr>
        <xdr:cNvPr id="2" name="Diagramm 12">
          <a:extLst>
            <a:ext uri="{FF2B5EF4-FFF2-40B4-BE49-F238E27FC236}">
              <a16:creationId xmlns:a16="http://schemas.microsoft.com/office/drawing/2014/main" id="{07296B67-3A60-4CE6-2BC7-77AC7DE800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395393</xdr:colOff>
      <xdr:row>2</xdr:row>
      <xdr:rowOff>43814</xdr:rowOff>
    </xdr:from>
    <xdr:to>
      <xdr:col>19</xdr:col>
      <xdr:colOff>8467</xdr:colOff>
      <xdr:row>13</xdr:row>
      <xdr:rowOff>66252</xdr:rowOff>
    </xdr:to>
    <xdr:graphicFrame macro="">
      <xdr:nvGraphicFramePr>
        <xdr:cNvPr id="3" name="Diagramm 1">
          <a:extLst>
            <a:ext uri="{FF2B5EF4-FFF2-40B4-BE49-F238E27FC236}">
              <a16:creationId xmlns:a16="http://schemas.microsoft.com/office/drawing/2014/main" id="{2DA0011F-C3E4-4D11-A8CD-D4F6E5C3C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268605</xdr:colOff>
      <xdr:row>17</xdr:row>
      <xdr:rowOff>38947</xdr:rowOff>
    </xdr:from>
    <xdr:to>
      <xdr:col>21</xdr:col>
      <xdr:colOff>193673</xdr:colOff>
      <xdr:row>40</xdr:row>
      <xdr:rowOff>70484</xdr:rowOff>
    </xdr:to>
    <mc:AlternateContent xmlns:mc="http://schemas.openxmlformats.org/markup-compatibility/2006">
      <mc:Choice xmlns:cx1="http://schemas.microsoft.com/office/drawing/2015/9/8/chartex" Requires="cx1">
        <xdr:graphicFrame macro="">
          <xdr:nvGraphicFramePr>
            <xdr:cNvPr id="27" name="Diagramm 2">
              <a:extLst>
                <a:ext uri="{FF2B5EF4-FFF2-40B4-BE49-F238E27FC236}">
                  <a16:creationId xmlns:a16="http://schemas.microsoft.com/office/drawing/2014/main" id="{3081293A-BB6B-48CD-A466-1E54E3444D9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0" y="0"/>
              <a:ext cx="0" cy="0"/>
            </a:xfrm>
            <a:prstGeom prst="rect">
              <a:avLst/>
            </a:prstGeom>
            <a:solidFill>
              <a:prstClr val="white"/>
            </a:solidFill>
            <a:ln w="1">
              <a:solidFill>
                <a:prstClr val="green"/>
              </a:solidFill>
            </a:ln>
          </xdr:spPr>
          <xdr:txBody>
            <a:bodyPr vertOverflow="clip" horzOverflow="clip"/>
            <a:lstStyle/>
            <a:p>
              <a:r>
                <a:rPr sz="1100"/>
                <a:t>This chart isn't available in your version of Excel.
Editing this shape or saving this workbook in a different file format will permanently break the chart.</a:t>
              </a:r>
            </a:p>
          </xdr:txBody>
        </xdr:sp>
      </mc:Fallback>
    </mc:AlternateContent>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6.bin"/><Relationship Id="rId1" Type="http://schemas.openxmlformats.org/officeDocument/2006/relationships/hyperlink" Target="https://klab.ee/f-gaasid/juhendid/jahutus-ja-kliimaseadmete-ning-soojuspumpade-kaitlejale/oluline-teada-paiksed-jahutusseadmed/"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1176-925E-4EC0-AA12-08EC2607545B}">
  <sheetPr>
    <tabColor rgb="FFE2EFDA"/>
    <pageSetUpPr fitToPage="1"/>
  </sheetPr>
  <dimension ref="A6:M17"/>
  <sheetViews>
    <sheetView showGridLines="0" tabSelected="1" zoomScaleNormal="100" workbookViewId="0">
      <pane xSplit="3" ySplit="8" topLeftCell="D9" activePane="bottomRight" state="frozen"/>
      <selection pane="bottomRight" activeCell="B10" sqref="B10:C10"/>
      <selection pane="bottomLeft" activeCell="A9" sqref="A9"/>
      <selection pane="topRight" activeCell="N1" sqref="N1"/>
    </sheetView>
  </sheetViews>
  <sheetFormatPr defaultColWidth="9.140625" defaultRowHeight="15"/>
  <cols>
    <col min="1" max="1" width="2.5703125" style="1" customWidth="1"/>
    <col min="2" max="2" width="18.5703125" style="1" customWidth="1"/>
    <col min="3" max="3" width="112.7109375" style="1" customWidth="1"/>
    <col min="4" max="16384" width="9.140625" style="1"/>
  </cols>
  <sheetData>
    <row r="6" spans="1:13" ht="18.75">
      <c r="C6" s="3"/>
    </row>
    <row r="7" spans="1:13" ht="23.25" customHeight="1">
      <c r="B7" s="627" t="s">
        <v>0</v>
      </c>
      <c r="C7" s="627"/>
    </row>
    <row r="8" spans="1:13">
      <c r="C8" s="2"/>
    </row>
    <row r="9" spans="1:13">
      <c r="B9" s="626" t="s">
        <v>1</v>
      </c>
      <c r="C9" s="626"/>
      <c r="D9" s="5"/>
      <c r="E9" s="5"/>
      <c r="F9" s="5"/>
      <c r="G9" s="5"/>
      <c r="H9" s="5"/>
      <c r="I9" s="5"/>
      <c r="J9" s="5"/>
      <c r="K9" s="5"/>
      <c r="L9" s="5"/>
      <c r="M9" s="5"/>
    </row>
    <row r="10" spans="1:13" ht="123.75" customHeight="1">
      <c r="A10" s="6"/>
      <c r="B10" s="629" t="s">
        <v>2</v>
      </c>
      <c r="C10" s="630"/>
    </row>
    <row r="12" spans="1:13">
      <c r="B12" s="628" t="s">
        <v>3</v>
      </c>
      <c r="C12" s="628"/>
    </row>
    <row r="13" spans="1:13" ht="102.75" customHeight="1">
      <c r="B13" s="629" t="s">
        <v>4</v>
      </c>
      <c r="C13" s="630"/>
    </row>
    <row r="14" spans="1:13" ht="175.5" customHeight="1">
      <c r="B14" s="540" t="s">
        <v>5</v>
      </c>
      <c r="C14" s="535" t="s">
        <v>6</v>
      </c>
    </row>
    <row r="15" spans="1:13" ht="279" customHeight="1">
      <c r="B15" s="540" t="s">
        <v>7</v>
      </c>
      <c r="C15" s="536" t="s">
        <v>8</v>
      </c>
    </row>
    <row r="16" spans="1:13" ht="33.75" customHeight="1">
      <c r="B16" s="539" t="s">
        <v>9</v>
      </c>
      <c r="C16" s="443" t="s">
        <v>10</v>
      </c>
    </row>
    <row r="17" spans="2:3" ht="30">
      <c r="B17" s="445"/>
      <c r="C17" s="444" t="s">
        <v>11</v>
      </c>
    </row>
  </sheetData>
  <mergeCells count="5">
    <mergeCell ref="B9:C9"/>
    <mergeCell ref="B7:C7"/>
    <mergeCell ref="B12:C12"/>
    <mergeCell ref="B10:C10"/>
    <mergeCell ref="B13:C13"/>
  </mergeCells>
  <hyperlinks>
    <hyperlink ref="B16" location="'KHG eriheitetegurid'!A1" display="Eriheitetegurid" xr:uid="{4A6258C3-E10D-47D1-9B86-27EE0161450C}"/>
    <hyperlink ref="B15" location="'KHG_OMA SÕIDUKID M1'!A1" display="KHG jalajälg" xr:uid="{661AF0D4-4249-419B-ABD0-8A01555E4BCA}"/>
    <hyperlink ref="B14" location="ELEKTER!A1" display="Keskkonnaaspektid" xr:uid="{07B85E68-D7A2-4103-B57E-C9425C370E6F}"/>
  </hyperlinks>
  <pageMargins left="0.70866141732283472" right="0.70866141732283472" top="0.74803149606299213" bottom="0.74803149606299213" header="0.31496062992125984" footer="0.31496062992125984"/>
  <pageSetup paperSize="9" scale="77" fitToHeight="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2A1C-94DE-4C21-81D0-2D7FDCF63A0F}">
  <sheetPr>
    <tabColor rgb="FFF4B084"/>
    <pageSetUpPr fitToPage="1"/>
  </sheetPr>
  <dimension ref="A2:S141"/>
  <sheetViews>
    <sheetView showGridLines="0" zoomScaleNormal="100" workbookViewId="0">
      <pane xSplit="1" ySplit="2" topLeftCell="B5" activePane="bottomRight" state="frozen"/>
      <selection pane="bottomRight" activeCell="C35" sqref="C35"/>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31.42578125" style="4" customWidth="1"/>
    <col min="4" max="4" width="18.5703125" style="97" customWidth="1"/>
    <col min="5" max="5" width="15.5703125" style="1" customWidth="1"/>
    <col min="6" max="6" width="15.5703125" style="4" customWidth="1"/>
    <col min="7" max="16384" width="9.140625" style="1"/>
  </cols>
  <sheetData>
    <row r="2" spans="1:19" ht="18.600000000000001" customHeight="1">
      <c r="B2" s="94" t="s">
        <v>158</v>
      </c>
      <c r="C2" s="96"/>
    </row>
    <row r="3" spans="1:19" ht="93.75" customHeight="1">
      <c r="B3" s="648" t="s">
        <v>159</v>
      </c>
      <c r="C3" s="648"/>
      <c r="D3" s="648"/>
      <c r="E3" s="648"/>
      <c r="F3" s="648"/>
      <c r="G3" s="648"/>
      <c r="H3" s="648"/>
      <c r="I3" s="648"/>
      <c r="J3" s="648"/>
      <c r="K3" s="648"/>
      <c r="L3" s="648"/>
      <c r="M3" s="648"/>
      <c r="N3" s="648"/>
      <c r="O3" s="648"/>
      <c r="P3" s="648"/>
    </row>
    <row r="4" spans="1:19" ht="33.75" customHeight="1">
      <c r="B4" s="650" t="s">
        <v>160</v>
      </c>
      <c r="C4" s="650"/>
      <c r="D4" s="650"/>
      <c r="E4" s="650"/>
      <c r="F4" s="650"/>
      <c r="G4" s="650"/>
      <c r="H4" s="650"/>
      <c r="I4" s="650"/>
      <c r="J4" s="650"/>
      <c r="K4" s="650"/>
      <c r="L4" s="650"/>
      <c r="M4" s="650"/>
      <c r="N4" s="650"/>
      <c r="O4" s="650"/>
      <c r="P4" s="650"/>
    </row>
    <row r="5" spans="1:19" ht="15">
      <c r="C5" s="1"/>
      <c r="D5" s="1"/>
      <c r="F5" s="1"/>
    </row>
    <row r="6" spans="1:19" ht="14.85" customHeight="1">
      <c r="B6" s="99" t="s">
        <v>15</v>
      </c>
      <c r="C6" s="100"/>
    </row>
    <row r="7" spans="1:19" ht="14.85" customHeight="1">
      <c r="A7" s="153"/>
      <c r="C7" s="398" t="s">
        <v>61</v>
      </c>
      <c r="D7" s="154"/>
      <c r="E7" s="154"/>
      <c r="G7" s="4"/>
      <c r="H7" s="4"/>
      <c r="I7" s="4"/>
      <c r="J7" s="4"/>
      <c r="K7" s="4"/>
      <c r="L7" s="4"/>
      <c r="M7" s="4"/>
      <c r="N7" s="4"/>
      <c r="O7" s="4"/>
      <c r="P7" s="155"/>
      <c r="S7" s="156"/>
    </row>
    <row r="8" spans="1:19" ht="14.85" customHeight="1">
      <c r="C8" s="298" t="s">
        <v>16</v>
      </c>
    </row>
    <row r="9" spans="1:19" ht="14.85" customHeight="1">
      <c r="A9" s="153"/>
      <c r="B9" s="4"/>
      <c r="C9" s="322" t="s">
        <v>17</v>
      </c>
      <c r="D9" s="154"/>
      <c r="E9" s="4"/>
      <c r="G9" s="154"/>
      <c r="H9" s="154"/>
      <c r="I9" s="154"/>
      <c r="J9" s="154"/>
      <c r="K9" s="154"/>
      <c r="L9" s="154"/>
      <c r="M9" s="154"/>
      <c r="N9" s="154"/>
      <c r="O9" s="154"/>
      <c r="P9" s="157"/>
      <c r="Q9" s="158"/>
    </row>
    <row r="10" spans="1:19" ht="14.85" customHeight="1" thickBot="1"/>
    <row r="11" spans="1:19" ht="14.85" customHeight="1">
      <c r="B11" s="653" t="s">
        <v>28</v>
      </c>
      <c r="C11" s="653" t="s">
        <v>52</v>
      </c>
      <c r="D11" s="666" t="s">
        <v>161</v>
      </c>
      <c r="E11" s="669" t="s">
        <v>162</v>
      </c>
      <c r="F11" s="663" t="s">
        <v>148</v>
      </c>
    </row>
    <row r="12" spans="1:19" ht="14.85" customHeight="1">
      <c r="B12" s="665"/>
      <c r="C12" s="665"/>
      <c r="D12" s="667"/>
      <c r="E12" s="670"/>
      <c r="F12" s="672"/>
    </row>
    <row r="13" spans="1:19" ht="14.85" customHeight="1">
      <c r="B13" s="665"/>
      <c r="C13" s="665"/>
      <c r="D13" s="667"/>
      <c r="E13" s="670"/>
      <c r="F13" s="672"/>
    </row>
    <row r="14" spans="1:19" ht="14.85" customHeight="1" thickBot="1">
      <c r="B14" s="654"/>
      <c r="C14" s="654"/>
      <c r="D14" s="668"/>
      <c r="E14" s="671"/>
      <c r="F14" s="664"/>
    </row>
    <row r="15" spans="1:19" ht="14.85" customHeight="1">
      <c r="B15" s="112">
        <f>ÜLDANDMED!D14</f>
        <v>2024</v>
      </c>
      <c r="C15" s="160" t="s">
        <v>163</v>
      </c>
      <c r="D15" s="161"/>
      <c r="E15" s="114"/>
      <c r="F15" s="162"/>
    </row>
    <row r="16" spans="1:19" ht="14.85" customHeight="1">
      <c r="B16" s="117"/>
      <c r="C16" s="402"/>
      <c r="D16" s="307"/>
      <c r="E16" s="343" t="e">
        <f>LOOKUP(C16,'KHG eriheitetegurid'!$B$152:$B$162,'KHG eriheitetegurid'!$D$152:$D$162)</f>
        <v>#N/A</v>
      </c>
      <c r="F16" s="365" t="str">
        <f>_xlfn.IFNA(D16*E16/1000,"")</f>
        <v/>
      </c>
      <c r="G16" s="163"/>
    </row>
    <row r="17" spans="2:6" ht="14.85" customHeight="1">
      <c r="B17" s="117"/>
      <c r="C17" s="402"/>
      <c r="D17" s="307"/>
      <c r="E17" s="343" t="e">
        <f>LOOKUP(C17,'KHG eriheitetegurid'!$B$152:$B$162,'KHG eriheitetegurid'!$D$152:$D$162)</f>
        <v>#N/A</v>
      </c>
      <c r="F17" s="365" t="str">
        <f t="shared" ref="F17:F115" si="0">_xlfn.IFNA(D17*E17/1000,"")</f>
        <v/>
      </c>
    </row>
    <row r="18" spans="2:6" ht="14.85" customHeight="1">
      <c r="B18" s="117"/>
      <c r="C18" s="402"/>
      <c r="D18" s="307"/>
      <c r="E18" s="343" t="e">
        <f>LOOKUP(C18,'KHG eriheitetegurid'!$B$152:$B$162,'KHG eriheitetegurid'!$D$152:$D$162)</f>
        <v>#N/A</v>
      </c>
      <c r="F18" s="365" t="str">
        <f t="shared" si="0"/>
        <v/>
      </c>
    </row>
    <row r="19" spans="2:6" ht="14.85" customHeight="1">
      <c r="B19" s="117"/>
      <c r="C19" s="402"/>
      <c r="D19" s="307"/>
      <c r="E19" s="343" t="e">
        <f>LOOKUP(C19,'KHG eriheitetegurid'!$B$152:$B$162,'KHG eriheitetegurid'!$D$152:$D$162)</f>
        <v>#N/A</v>
      </c>
      <c r="F19" s="365" t="str">
        <f t="shared" si="0"/>
        <v/>
      </c>
    </row>
    <row r="20" spans="2:6" ht="14.85" customHeight="1">
      <c r="B20" s="117"/>
      <c r="C20" s="402"/>
      <c r="D20" s="307"/>
      <c r="E20" s="343" t="e">
        <f>LOOKUP(C20,'KHG eriheitetegurid'!$B$152:$B$162,'KHG eriheitetegurid'!$D$152:$D$162)</f>
        <v>#N/A</v>
      </c>
      <c r="F20" s="365" t="str">
        <f t="shared" si="0"/>
        <v/>
      </c>
    </row>
    <row r="21" spans="2:6" ht="14.85" customHeight="1">
      <c r="B21" s="117"/>
      <c r="C21" s="402"/>
      <c r="D21" s="307"/>
      <c r="E21" s="343" t="e">
        <f>LOOKUP(C21,'KHG eriheitetegurid'!$B$152:$B$162,'KHG eriheitetegurid'!$D$152:$D$162)</f>
        <v>#N/A</v>
      </c>
      <c r="F21" s="365" t="str">
        <f t="shared" si="0"/>
        <v/>
      </c>
    </row>
    <row r="22" spans="2:6" ht="14.85" customHeight="1">
      <c r="B22" s="117"/>
      <c r="C22" s="402"/>
      <c r="D22" s="307"/>
      <c r="E22" s="343" t="e">
        <f>LOOKUP(C22,'KHG eriheitetegurid'!$B$152:$B$162,'KHG eriheitetegurid'!$D$152:$D$162)</f>
        <v>#N/A</v>
      </c>
      <c r="F22" s="365" t="str">
        <f t="shared" si="0"/>
        <v/>
      </c>
    </row>
    <row r="23" spans="2:6" ht="14.85" customHeight="1">
      <c r="B23" s="117"/>
      <c r="C23" s="402"/>
      <c r="D23" s="307"/>
      <c r="E23" s="343" t="e">
        <f>LOOKUP(C23,'KHG eriheitetegurid'!$B$152:$B$162,'KHG eriheitetegurid'!$D$152:$D$162)</f>
        <v>#N/A</v>
      </c>
      <c r="F23" s="365" t="str">
        <f t="shared" si="0"/>
        <v/>
      </c>
    </row>
    <row r="24" spans="2:6" ht="14.85" customHeight="1">
      <c r="B24" s="117"/>
      <c r="C24" s="402"/>
      <c r="D24" s="307"/>
      <c r="E24" s="343" t="e">
        <f>LOOKUP(C24,'KHG eriheitetegurid'!$B$152:$B$162,'KHG eriheitetegurid'!$D$152:$D$162)</f>
        <v>#N/A</v>
      </c>
      <c r="F24" s="365" t="str">
        <f t="shared" si="0"/>
        <v/>
      </c>
    </row>
    <row r="25" spans="2:6" ht="14.85" customHeight="1">
      <c r="B25" s="117"/>
      <c r="C25" s="402"/>
      <c r="D25" s="307"/>
      <c r="E25" s="343" t="e">
        <f>LOOKUP(C25,'KHG eriheitetegurid'!$B$152:$B$162,'KHG eriheitetegurid'!$D$152:$D$162)</f>
        <v>#N/A</v>
      </c>
      <c r="F25" s="365" t="str">
        <f t="shared" si="0"/>
        <v/>
      </c>
    </row>
    <row r="26" spans="2:6" ht="14.85" customHeight="1" thickBot="1">
      <c r="B26" s="117"/>
      <c r="C26" s="403"/>
      <c r="D26" s="308"/>
      <c r="E26" s="341" t="e">
        <f>LOOKUP(C26,'KHG eriheitetegurid'!$B$152:$B$162,'KHG eriheitetegurid'!$D$152:$D$162)</f>
        <v>#N/A</v>
      </c>
      <c r="F26" s="366" t="str">
        <f t="shared" si="0"/>
        <v/>
      </c>
    </row>
    <row r="27" spans="2:6" ht="14.85" customHeight="1" thickBot="1">
      <c r="B27" s="164"/>
      <c r="C27" s="165" t="s">
        <v>164</v>
      </c>
      <c r="D27" s="166"/>
      <c r="E27" s="167"/>
      <c r="F27" s="367">
        <f>SUM(F16:F26)</f>
        <v>0</v>
      </c>
    </row>
    <row r="28" spans="2:6" ht="14.85" customHeight="1">
      <c r="C28" s="1"/>
      <c r="D28" s="1"/>
      <c r="F28" s="1"/>
    </row>
    <row r="29" spans="2:6" ht="14.85" customHeight="1" thickBot="1">
      <c r="C29" s="1"/>
      <c r="D29" s="1"/>
      <c r="F29" s="1"/>
    </row>
    <row r="30" spans="2:6" ht="14.85" customHeight="1">
      <c r="B30" s="653" t="s">
        <v>28</v>
      </c>
      <c r="C30" s="653" t="s">
        <v>52</v>
      </c>
      <c r="D30" s="666" t="s">
        <v>161</v>
      </c>
      <c r="E30" s="669" t="s">
        <v>162</v>
      </c>
      <c r="F30" s="663" t="s">
        <v>148</v>
      </c>
    </row>
    <row r="31" spans="2:6" ht="14.85" customHeight="1">
      <c r="B31" s="665"/>
      <c r="C31" s="665"/>
      <c r="D31" s="667"/>
      <c r="E31" s="670"/>
      <c r="F31" s="672"/>
    </row>
    <row r="32" spans="2:6" ht="14.85" customHeight="1">
      <c r="B32" s="665"/>
      <c r="C32" s="665"/>
      <c r="D32" s="667"/>
      <c r="E32" s="670"/>
      <c r="F32" s="672"/>
    </row>
    <row r="33" spans="2:6" ht="14.85" customHeight="1" thickBot="1">
      <c r="B33" s="654"/>
      <c r="C33" s="654"/>
      <c r="D33" s="668"/>
      <c r="E33" s="671"/>
      <c r="F33" s="664"/>
    </row>
    <row r="34" spans="2:6" ht="14.85" customHeight="1">
      <c r="B34" s="112">
        <f>ÜLDANDMED!E14</f>
        <v>2025</v>
      </c>
      <c r="C34" s="168" t="s">
        <v>163</v>
      </c>
      <c r="D34" s="161"/>
      <c r="E34" s="114"/>
      <c r="F34" s="162"/>
    </row>
    <row r="35" spans="2:6" ht="14.85" customHeight="1">
      <c r="B35" s="117"/>
      <c r="C35" s="402"/>
      <c r="D35" s="307"/>
      <c r="E35" s="343" t="e">
        <f>LOOKUP(C35,'KHG eriheitetegurid'!$B$152:$B$162,'KHG eriheitetegurid'!$D$152:$D$162)</f>
        <v>#N/A</v>
      </c>
      <c r="F35" s="365" t="str">
        <f t="shared" si="0"/>
        <v/>
      </c>
    </row>
    <row r="36" spans="2:6" ht="14.85" customHeight="1">
      <c r="B36" s="117"/>
      <c r="C36" s="402"/>
      <c r="D36" s="307"/>
      <c r="E36" s="343" t="e">
        <f>LOOKUP(C36,'KHG eriheitetegurid'!$B$152:$B$162,'KHG eriheitetegurid'!$D$152:$D$162)</f>
        <v>#N/A</v>
      </c>
      <c r="F36" s="365" t="str">
        <f t="shared" si="0"/>
        <v/>
      </c>
    </row>
    <row r="37" spans="2:6" ht="14.85" customHeight="1">
      <c r="B37" s="117"/>
      <c r="C37" s="402"/>
      <c r="D37" s="307"/>
      <c r="E37" s="343" t="e">
        <f>LOOKUP(C37,'KHG eriheitetegurid'!$B$152:$B$162,'KHG eriheitetegurid'!$D$152:$D$162)</f>
        <v>#N/A</v>
      </c>
      <c r="F37" s="365" t="str">
        <f t="shared" si="0"/>
        <v/>
      </c>
    </row>
    <row r="38" spans="2:6" ht="14.85" customHeight="1">
      <c r="B38" s="117"/>
      <c r="C38" s="402"/>
      <c r="D38" s="307"/>
      <c r="E38" s="343" t="e">
        <f>LOOKUP(C38,'KHG eriheitetegurid'!$B$152:$B$162,'KHG eriheitetegurid'!$D$152:$D$162)</f>
        <v>#N/A</v>
      </c>
      <c r="F38" s="365" t="str">
        <f t="shared" si="0"/>
        <v/>
      </c>
    </row>
    <row r="39" spans="2:6" ht="14.85" customHeight="1">
      <c r="B39" s="117"/>
      <c r="C39" s="402"/>
      <c r="D39" s="307"/>
      <c r="E39" s="343" t="e">
        <f>LOOKUP(C39,'KHG eriheitetegurid'!$B$152:$B$162,'KHG eriheitetegurid'!$D$152:$D$162)</f>
        <v>#N/A</v>
      </c>
      <c r="F39" s="365" t="str">
        <f t="shared" si="0"/>
        <v/>
      </c>
    </row>
    <row r="40" spans="2:6" ht="14.85" customHeight="1">
      <c r="B40" s="117"/>
      <c r="C40" s="402"/>
      <c r="D40" s="307"/>
      <c r="E40" s="343" t="e">
        <f>LOOKUP(C40,'KHG eriheitetegurid'!$B$152:$B$162,'KHG eriheitetegurid'!$D$152:$D$162)</f>
        <v>#N/A</v>
      </c>
      <c r="F40" s="365" t="str">
        <f t="shared" si="0"/>
        <v/>
      </c>
    </row>
    <row r="41" spans="2:6" ht="14.85" customHeight="1">
      <c r="B41" s="117"/>
      <c r="C41" s="402"/>
      <c r="D41" s="307"/>
      <c r="E41" s="343" t="e">
        <f>LOOKUP(C41,'KHG eriheitetegurid'!$B$152:$B$162,'KHG eriheitetegurid'!$D$152:$D$162)</f>
        <v>#N/A</v>
      </c>
      <c r="F41" s="365" t="str">
        <f t="shared" si="0"/>
        <v/>
      </c>
    </row>
    <row r="42" spans="2:6" ht="14.85" customHeight="1">
      <c r="B42" s="117"/>
      <c r="C42" s="402"/>
      <c r="D42" s="307"/>
      <c r="E42" s="343" t="e">
        <f>LOOKUP(C42,'KHG eriheitetegurid'!$B$152:$B$162,'KHG eriheitetegurid'!$D$152:$D$162)</f>
        <v>#N/A</v>
      </c>
      <c r="F42" s="365" t="str">
        <f t="shared" si="0"/>
        <v/>
      </c>
    </row>
    <row r="43" spans="2:6" ht="14.85" customHeight="1">
      <c r="B43" s="117"/>
      <c r="C43" s="402"/>
      <c r="D43" s="307"/>
      <c r="E43" s="343" t="e">
        <f>LOOKUP(C43,'KHG eriheitetegurid'!$B$152:$B$162,'KHG eriheitetegurid'!$D$152:$D$162)</f>
        <v>#N/A</v>
      </c>
      <c r="F43" s="365" t="str">
        <f t="shared" si="0"/>
        <v/>
      </c>
    </row>
    <row r="44" spans="2:6" ht="14.85" customHeight="1">
      <c r="B44" s="117"/>
      <c r="C44" s="402"/>
      <c r="D44" s="307"/>
      <c r="E44" s="343" t="e">
        <f>LOOKUP(C44,'KHG eriheitetegurid'!$B$152:$B$162,'KHG eriheitetegurid'!$D$152:$D$162)</f>
        <v>#N/A</v>
      </c>
      <c r="F44" s="365" t="str">
        <f t="shared" si="0"/>
        <v/>
      </c>
    </row>
    <row r="45" spans="2:6" ht="14.85" customHeight="1" thickBot="1">
      <c r="B45" s="164"/>
      <c r="C45" s="404"/>
      <c r="D45" s="307"/>
      <c r="E45" s="341" t="e">
        <f>LOOKUP(C45,'KHG eriheitetegurid'!$B$152:$B$162,'KHG eriheitetegurid'!$D$152:$D$162)</f>
        <v>#N/A</v>
      </c>
      <c r="F45" s="365" t="str">
        <f t="shared" si="0"/>
        <v/>
      </c>
    </row>
    <row r="46" spans="2:6" ht="14.85" customHeight="1" thickBot="1">
      <c r="B46" s="164"/>
      <c r="C46" s="165" t="s">
        <v>164</v>
      </c>
      <c r="D46" s="166"/>
      <c r="E46" s="167"/>
      <c r="F46" s="367">
        <f>SUM(F35:F45)</f>
        <v>0</v>
      </c>
    </row>
    <row r="47" spans="2:6" ht="14.85" customHeight="1">
      <c r="C47" s="1"/>
      <c r="D47" s="1"/>
      <c r="F47" s="1"/>
    </row>
    <row r="48" spans="2:6" ht="14.85" customHeight="1" thickBot="1">
      <c r="C48" s="1"/>
      <c r="D48" s="1"/>
      <c r="F48" s="1"/>
    </row>
    <row r="49" spans="2:6" ht="14.85" customHeight="1">
      <c r="B49" s="653" t="s">
        <v>28</v>
      </c>
      <c r="C49" s="653" t="s">
        <v>52</v>
      </c>
      <c r="D49" s="666" t="s">
        <v>161</v>
      </c>
      <c r="E49" s="669" t="s">
        <v>162</v>
      </c>
      <c r="F49" s="663" t="s">
        <v>148</v>
      </c>
    </row>
    <row r="50" spans="2:6" ht="14.85" customHeight="1">
      <c r="B50" s="665"/>
      <c r="C50" s="665"/>
      <c r="D50" s="667"/>
      <c r="E50" s="670"/>
      <c r="F50" s="672"/>
    </row>
    <row r="51" spans="2:6" ht="14.85" customHeight="1">
      <c r="B51" s="665"/>
      <c r="C51" s="665"/>
      <c r="D51" s="667"/>
      <c r="E51" s="670"/>
      <c r="F51" s="672"/>
    </row>
    <row r="52" spans="2:6" ht="14.85" customHeight="1" thickBot="1">
      <c r="B52" s="654"/>
      <c r="C52" s="654"/>
      <c r="D52" s="668"/>
      <c r="E52" s="671"/>
      <c r="F52" s="664"/>
    </row>
    <row r="53" spans="2:6" ht="14.85" customHeight="1">
      <c r="B53" s="169">
        <f>ÜLDANDMED!F14</f>
        <v>2026</v>
      </c>
      <c r="C53" s="168" t="s">
        <v>163</v>
      </c>
      <c r="D53" s="161"/>
      <c r="E53" s="114"/>
      <c r="F53" s="162"/>
    </row>
    <row r="54" spans="2:6" ht="14.85" customHeight="1">
      <c r="B54" s="117"/>
      <c r="C54" s="402"/>
      <c r="D54" s="307"/>
      <c r="E54" s="343" t="e">
        <f>LOOKUP(C54,'KHG eriheitetegurid'!$B$152:$B$162,'KHG eriheitetegurid'!$D$152:$D$162)</f>
        <v>#N/A</v>
      </c>
      <c r="F54" s="365" t="str">
        <f t="shared" si="0"/>
        <v/>
      </c>
    </row>
    <row r="55" spans="2:6" ht="14.85" customHeight="1">
      <c r="B55" s="117"/>
      <c r="C55" s="402"/>
      <c r="D55" s="307"/>
      <c r="E55" s="343" t="e">
        <f>LOOKUP(C55,'KHG eriheitetegurid'!$B$152:$B$162,'KHG eriheitetegurid'!$D$152:$D$162)</f>
        <v>#N/A</v>
      </c>
      <c r="F55" s="365" t="str">
        <f t="shared" si="0"/>
        <v/>
      </c>
    </row>
    <row r="56" spans="2:6" ht="14.85" customHeight="1">
      <c r="B56" s="117"/>
      <c r="C56" s="402"/>
      <c r="D56" s="307"/>
      <c r="E56" s="343" t="e">
        <f>LOOKUP(C56,'KHG eriheitetegurid'!$B$152:$B$162,'KHG eriheitetegurid'!$D$152:$D$162)</f>
        <v>#N/A</v>
      </c>
      <c r="F56" s="365" t="str">
        <f t="shared" si="0"/>
        <v/>
      </c>
    </row>
    <row r="57" spans="2:6" ht="14.85" customHeight="1">
      <c r="B57" s="117"/>
      <c r="C57" s="402"/>
      <c r="D57" s="307"/>
      <c r="E57" s="343" t="e">
        <f>LOOKUP(C57,'KHG eriheitetegurid'!$B$152:$B$162,'KHG eriheitetegurid'!$D$152:$D$162)</f>
        <v>#N/A</v>
      </c>
      <c r="F57" s="365" t="str">
        <f t="shared" si="0"/>
        <v/>
      </c>
    </row>
    <row r="58" spans="2:6" ht="14.85" customHeight="1">
      <c r="B58" s="117"/>
      <c r="C58" s="402"/>
      <c r="D58" s="307"/>
      <c r="E58" s="343" t="e">
        <f>LOOKUP(C58,'KHG eriheitetegurid'!$B$152:$B$162,'KHG eriheitetegurid'!$D$152:$D$162)</f>
        <v>#N/A</v>
      </c>
      <c r="F58" s="365" t="str">
        <f t="shared" si="0"/>
        <v/>
      </c>
    </row>
    <row r="59" spans="2:6" ht="14.85" customHeight="1">
      <c r="B59" s="117"/>
      <c r="C59" s="402"/>
      <c r="D59" s="307"/>
      <c r="E59" s="343" t="e">
        <f>LOOKUP(C59,'KHG eriheitetegurid'!$B$152:$B$162,'KHG eriheitetegurid'!$D$152:$D$162)</f>
        <v>#N/A</v>
      </c>
      <c r="F59" s="365" t="str">
        <f t="shared" si="0"/>
        <v/>
      </c>
    </row>
    <row r="60" spans="2:6" ht="14.85" customHeight="1">
      <c r="B60" s="117"/>
      <c r="C60" s="402"/>
      <c r="D60" s="307"/>
      <c r="E60" s="343" t="e">
        <f>LOOKUP(C60,'KHG eriheitetegurid'!$B$152:$B$162,'KHG eriheitetegurid'!$D$152:$D$162)</f>
        <v>#N/A</v>
      </c>
      <c r="F60" s="365" t="str">
        <f t="shared" si="0"/>
        <v/>
      </c>
    </row>
    <row r="61" spans="2:6" ht="14.85" customHeight="1">
      <c r="B61" s="117"/>
      <c r="C61" s="402"/>
      <c r="D61" s="307"/>
      <c r="E61" s="343" t="e">
        <f>LOOKUP(C61,'KHG eriheitetegurid'!$B$152:$B$162,'KHG eriheitetegurid'!$D$152:$D$162)</f>
        <v>#N/A</v>
      </c>
      <c r="F61" s="365" t="str">
        <f t="shared" si="0"/>
        <v/>
      </c>
    </row>
    <row r="62" spans="2:6" ht="14.85" customHeight="1">
      <c r="B62" s="117"/>
      <c r="C62" s="402"/>
      <c r="D62" s="307"/>
      <c r="E62" s="343" t="e">
        <f>LOOKUP(C62,'KHG eriheitetegurid'!$B$152:$B$162,'KHG eriheitetegurid'!$D$152:$D$162)</f>
        <v>#N/A</v>
      </c>
      <c r="F62" s="365" t="str">
        <f t="shared" si="0"/>
        <v/>
      </c>
    </row>
    <row r="63" spans="2:6" ht="14.85" customHeight="1">
      <c r="B63" s="117"/>
      <c r="C63" s="402"/>
      <c r="D63" s="307"/>
      <c r="E63" s="343" t="e">
        <f>LOOKUP(C63,'KHG eriheitetegurid'!$B$152:$B$162,'KHG eriheitetegurid'!$D$152:$D$162)</f>
        <v>#N/A</v>
      </c>
      <c r="F63" s="365" t="str">
        <f t="shared" si="0"/>
        <v/>
      </c>
    </row>
    <row r="64" spans="2:6" ht="14.85" customHeight="1" thickBot="1">
      <c r="B64" s="164"/>
      <c r="C64" s="404"/>
      <c r="D64" s="307"/>
      <c r="E64" s="343" t="e">
        <f>LOOKUP(C64,'KHG eriheitetegurid'!$B$152:$B$162,'KHG eriheitetegurid'!$D$152:$D$162)</f>
        <v>#N/A</v>
      </c>
      <c r="F64" s="365" t="str">
        <f t="shared" si="0"/>
        <v/>
      </c>
    </row>
    <row r="65" spans="2:6" ht="14.85" customHeight="1" thickBot="1">
      <c r="B65" s="164"/>
      <c r="C65" s="165" t="s">
        <v>164</v>
      </c>
      <c r="D65" s="166"/>
      <c r="E65" s="167"/>
      <c r="F65" s="367">
        <f>SUM(F54:F64)</f>
        <v>0</v>
      </c>
    </row>
    <row r="66" spans="2:6" ht="14.85" customHeight="1">
      <c r="C66" s="1"/>
      <c r="D66" s="1"/>
      <c r="F66" s="1"/>
    </row>
    <row r="67" spans="2:6" ht="14.85" customHeight="1" thickBot="1">
      <c r="C67" s="1"/>
      <c r="D67" s="1"/>
      <c r="F67" s="1"/>
    </row>
    <row r="68" spans="2:6" ht="14.85" customHeight="1">
      <c r="B68" s="653" t="s">
        <v>28</v>
      </c>
      <c r="C68" s="653" t="s">
        <v>52</v>
      </c>
      <c r="D68" s="666" t="s">
        <v>161</v>
      </c>
      <c r="E68" s="669" t="s">
        <v>162</v>
      </c>
      <c r="F68" s="663" t="s">
        <v>148</v>
      </c>
    </row>
    <row r="69" spans="2:6" ht="14.85" customHeight="1">
      <c r="B69" s="665"/>
      <c r="C69" s="665"/>
      <c r="D69" s="667"/>
      <c r="E69" s="670"/>
      <c r="F69" s="672"/>
    </row>
    <row r="70" spans="2:6" ht="14.85" customHeight="1">
      <c r="B70" s="665"/>
      <c r="C70" s="665"/>
      <c r="D70" s="667"/>
      <c r="E70" s="670"/>
      <c r="F70" s="672"/>
    </row>
    <row r="71" spans="2:6" ht="14.85" customHeight="1" thickBot="1">
      <c r="B71" s="654"/>
      <c r="C71" s="654"/>
      <c r="D71" s="668"/>
      <c r="E71" s="671"/>
      <c r="F71" s="664"/>
    </row>
    <row r="72" spans="2:6" ht="14.85" customHeight="1">
      <c r="B72" s="112">
        <f>ÜLDANDMED!G14</f>
        <v>2027</v>
      </c>
      <c r="C72" s="168" t="s">
        <v>163</v>
      </c>
      <c r="D72" s="161"/>
      <c r="E72" s="114"/>
      <c r="F72" s="162"/>
    </row>
    <row r="73" spans="2:6" ht="14.85" customHeight="1">
      <c r="B73" s="117"/>
      <c r="C73" s="402"/>
      <c r="D73" s="307"/>
      <c r="E73" s="343" t="e">
        <f>LOOKUP(C73,'KHG eriheitetegurid'!$B$152:$B$162,'KHG eriheitetegurid'!$D$152:$D$162)</f>
        <v>#N/A</v>
      </c>
      <c r="F73" s="365" t="str">
        <f t="shared" si="0"/>
        <v/>
      </c>
    </row>
    <row r="74" spans="2:6" ht="14.85" customHeight="1">
      <c r="B74" s="117"/>
      <c r="C74" s="402"/>
      <c r="D74" s="307"/>
      <c r="E74" s="343" t="e">
        <f>LOOKUP(C74,'KHG eriheitetegurid'!$B$152:$B$162,'KHG eriheitetegurid'!$D$152:$D$162)</f>
        <v>#N/A</v>
      </c>
      <c r="F74" s="365" t="str">
        <f t="shared" si="0"/>
        <v/>
      </c>
    </row>
    <row r="75" spans="2:6" ht="14.85" customHeight="1">
      <c r="B75" s="117"/>
      <c r="C75" s="402"/>
      <c r="D75" s="307"/>
      <c r="E75" s="343" t="e">
        <f>LOOKUP(C75,'KHG eriheitetegurid'!$B$152:$B$162,'KHG eriheitetegurid'!$D$152:$D$162)</f>
        <v>#N/A</v>
      </c>
      <c r="F75" s="365" t="str">
        <f t="shared" si="0"/>
        <v/>
      </c>
    </row>
    <row r="76" spans="2:6" ht="14.85" customHeight="1">
      <c r="B76" s="117"/>
      <c r="C76" s="402"/>
      <c r="D76" s="307"/>
      <c r="E76" s="343" t="e">
        <f>LOOKUP(C76,'KHG eriheitetegurid'!$B$152:$B$162,'KHG eriheitetegurid'!$D$152:$D$162)</f>
        <v>#N/A</v>
      </c>
      <c r="F76" s="365" t="str">
        <f t="shared" si="0"/>
        <v/>
      </c>
    </row>
    <row r="77" spans="2:6" ht="14.85" customHeight="1">
      <c r="B77" s="117"/>
      <c r="C77" s="402"/>
      <c r="D77" s="307"/>
      <c r="E77" s="343" t="e">
        <f>LOOKUP(C77,'KHG eriheitetegurid'!$B$152:$B$162,'KHG eriheitetegurid'!$D$152:$D$162)</f>
        <v>#N/A</v>
      </c>
      <c r="F77" s="365" t="str">
        <f t="shared" si="0"/>
        <v/>
      </c>
    </row>
    <row r="78" spans="2:6" ht="14.85" customHeight="1">
      <c r="B78" s="117"/>
      <c r="C78" s="402"/>
      <c r="D78" s="307"/>
      <c r="E78" s="343" t="e">
        <f>LOOKUP(C78,'KHG eriheitetegurid'!$B$152:$B$162,'KHG eriheitetegurid'!$D$152:$D$162)</f>
        <v>#N/A</v>
      </c>
      <c r="F78" s="365" t="str">
        <f t="shared" si="0"/>
        <v/>
      </c>
    </row>
    <row r="79" spans="2:6" ht="14.85" customHeight="1">
      <c r="B79" s="117"/>
      <c r="C79" s="402"/>
      <c r="D79" s="307"/>
      <c r="E79" s="343" t="e">
        <f>LOOKUP(C79,'KHG eriheitetegurid'!$B$152:$B$162,'KHG eriheitetegurid'!$D$152:$D$162)</f>
        <v>#N/A</v>
      </c>
      <c r="F79" s="365" t="str">
        <f t="shared" si="0"/>
        <v/>
      </c>
    </row>
    <row r="80" spans="2:6" ht="14.85" customHeight="1">
      <c r="B80" s="117"/>
      <c r="C80" s="402"/>
      <c r="D80" s="307"/>
      <c r="E80" s="343" t="e">
        <f>LOOKUP(C80,'KHG eriheitetegurid'!$B$152:$B$162,'KHG eriheitetegurid'!$D$152:$D$162)</f>
        <v>#N/A</v>
      </c>
      <c r="F80" s="365" t="str">
        <f t="shared" si="0"/>
        <v/>
      </c>
    </row>
    <row r="81" spans="2:6" ht="14.85" customHeight="1">
      <c r="B81" s="117"/>
      <c r="C81" s="402"/>
      <c r="D81" s="307"/>
      <c r="E81" s="343" t="e">
        <f>LOOKUP(C81,'KHG eriheitetegurid'!$B$152:$B$162,'KHG eriheitetegurid'!$D$152:$D$162)</f>
        <v>#N/A</v>
      </c>
      <c r="F81" s="365" t="str">
        <f t="shared" si="0"/>
        <v/>
      </c>
    </row>
    <row r="82" spans="2:6" ht="14.85" customHeight="1">
      <c r="B82" s="117"/>
      <c r="C82" s="402"/>
      <c r="D82" s="307"/>
      <c r="E82" s="343" t="e">
        <f>LOOKUP(C82,'KHG eriheitetegurid'!$B$152:$B$162,'KHG eriheitetegurid'!$D$152:$D$162)</f>
        <v>#N/A</v>
      </c>
      <c r="F82" s="365" t="str">
        <f t="shared" si="0"/>
        <v/>
      </c>
    </row>
    <row r="83" spans="2:6" ht="14.85" customHeight="1" thickBot="1">
      <c r="B83" s="164"/>
      <c r="C83" s="404"/>
      <c r="D83" s="308"/>
      <c r="E83" s="341" t="e">
        <f>LOOKUP(C83,'KHG eriheitetegurid'!$B$152:$B$162,'KHG eriheitetegurid'!$D$152:$D$162)</f>
        <v>#N/A</v>
      </c>
      <c r="F83" s="365" t="str">
        <f t="shared" si="0"/>
        <v/>
      </c>
    </row>
    <row r="84" spans="2:6" ht="14.85" customHeight="1" thickBot="1">
      <c r="B84" s="164"/>
      <c r="C84" s="165" t="s">
        <v>164</v>
      </c>
      <c r="D84" s="166"/>
      <c r="E84" s="167"/>
      <c r="F84" s="367">
        <f>SUM(F73:F83)</f>
        <v>0</v>
      </c>
    </row>
    <row r="85" spans="2:6" ht="14.85" customHeight="1">
      <c r="C85" s="1"/>
      <c r="D85" s="1"/>
      <c r="F85" s="1"/>
    </row>
    <row r="86" spans="2:6" ht="14.85" customHeight="1" thickBot="1">
      <c r="C86" s="1"/>
      <c r="D86" s="1"/>
      <c r="F86" s="1"/>
    </row>
    <row r="87" spans="2:6" ht="14.85" customHeight="1">
      <c r="B87" s="653" t="s">
        <v>28</v>
      </c>
      <c r="C87" s="653" t="s">
        <v>52</v>
      </c>
      <c r="D87" s="666" t="s">
        <v>161</v>
      </c>
      <c r="E87" s="669" t="s">
        <v>162</v>
      </c>
      <c r="F87" s="663" t="s">
        <v>148</v>
      </c>
    </row>
    <row r="88" spans="2:6" ht="14.85" customHeight="1">
      <c r="B88" s="665"/>
      <c r="C88" s="665"/>
      <c r="D88" s="667"/>
      <c r="E88" s="670"/>
      <c r="F88" s="672"/>
    </row>
    <row r="89" spans="2:6" ht="14.85" customHeight="1">
      <c r="B89" s="665"/>
      <c r="C89" s="665"/>
      <c r="D89" s="667"/>
      <c r="E89" s="670"/>
      <c r="F89" s="672"/>
    </row>
    <row r="90" spans="2:6" ht="14.85" customHeight="1" thickBot="1">
      <c r="B90" s="654"/>
      <c r="C90" s="654"/>
      <c r="D90" s="668"/>
      <c r="E90" s="671"/>
      <c r="F90" s="664"/>
    </row>
    <row r="91" spans="2:6" ht="14.85" customHeight="1">
      <c r="B91" s="169">
        <f>ÜLDANDMED!H14</f>
        <v>2028</v>
      </c>
      <c r="C91" s="168" t="s">
        <v>163</v>
      </c>
      <c r="D91" s="161"/>
      <c r="E91" s="114"/>
      <c r="F91" s="162"/>
    </row>
    <row r="92" spans="2:6" ht="14.85" customHeight="1">
      <c r="B92" s="117"/>
      <c r="C92" s="402"/>
      <c r="D92" s="307"/>
      <c r="E92" s="343" t="e">
        <f>LOOKUP(C92,'KHG eriheitetegurid'!$B$152:$B$162,'KHG eriheitetegurid'!$D$152:$D$162)</f>
        <v>#N/A</v>
      </c>
      <c r="F92" s="365" t="str">
        <f t="shared" si="0"/>
        <v/>
      </c>
    </row>
    <row r="93" spans="2:6" ht="14.85" customHeight="1">
      <c r="B93" s="117"/>
      <c r="C93" s="402"/>
      <c r="D93" s="307"/>
      <c r="E93" s="343" t="e">
        <f>LOOKUP(C93,'KHG eriheitetegurid'!$B$152:$B$162,'KHG eriheitetegurid'!$D$152:$D$162)</f>
        <v>#N/A</v>
      </c>
      <c r="F93" s="365" t="str">
        <f t="shared" si="0"/>
        <v/>
      </c>
    </row>
    <row r="94" spans="2:6" ht="14.85" customHeight="1">
      <c r="B94" s="117"/>
      <c r="C94" s="402"/>
      <c r="D94" s="307"/>
      <c r="E94" s="343" t="e">
        <f>LOOKUP(C94,'KHG eriheitetegurid'!$B$152:$B$162,'KHG eriheitetegurid'!$D$152:$D$162)</f>
        <v>#N/A</v>
      </c>
      <c r="F94" s="365" t="str">
        <f t="shared" si="0"/>
        <v/>
      </c>
    </row>
    <row r="95" spans="2:6" ht="14.85" customHeight="1">
      <c r="B95" s="117"/>
      <c r="C95" s="402"/>
      <c r="D95" s="307"/>
      <c r="E95" s="343" t="e">
        <f>LOOKUP(C95,'KHG eriheitetegurid'!$B$152:$B$162,'KHG eriheitetegurid'!$D$152:$D$162)</f>
        <v>#N/A</v>
      </c>
      <c r="F95" s="365" t="str">
        <f t="shared" si="0"/>
        <v/>
      </c>
    </row>
    <row r="96" spans="2:6" ht="14.85" customHeight="1">
      <c r="B96" s="117"/>
      <c r="C96" s="402"/>
      <c r="D96" s="307"/>
      <c r="E96" s="343" t="e">
        <f>LOOKUP(C96,'KHG eriheitetegurid'!$B$152:$B$162,'KHG eriheitetegurid'!$D$152:$D$162)</f>
        <v>#N/A</v>
      </c>
      <c r="F96" s="365" t="str">
        <f t="shared" si="0"/>
        <v/>
      </c>
    </row>
    <row r="97" spans="2:6" ht="14.85" customHeight="1">
      <c r="B97" s="117"/>
      <c r="C97" s="402"/>
      <c r="D97" s="307"/>
      <c r="E97" s="343" t="e">
        <f>LOOKUP(C97,'KHG eriheitetegurid'!$B$152:$B$162,'KHG eriheitetegurid'!$D$152:$D$162)</f>
        <v>#N/A</v>
      </c>
      <c r="F97" s="365" t="str">
        <f t="shared" si="0"/>
        <v/>
      </c>
    </row>
    <row r="98" spans="2:6" ht="14.85" customHeight="1">
      <c r="B98" s="117"/>
      <c r="C98" s="402"/>
      <c r="D98" s="307"/>
      <c r="E98" s="343" t="e">
        <f>LOOKUP(C98,'KHG eriheitetegurid'!$B$152:$B$162,'KHG eriheitetegurid'!$D$152:$D$162)</f>
        <v>#N/A</v>
      </c>
      <c r="F98" s="365" t="str">
        <f t="shared" si="0"/>
        <v/>
      </c>
    </row>
    <row r="99" spans="2:6" ht="14.85" customHeight="1">
      <c r="B99" s="117"/>
      <c r="C99" s="402"/>
      <c r="D99" s="307"/>
      <c r="E99" s="343" t="e">
        <f>LOOKUP(C99,'KHG eriheitetegurid'!$B$152:$B$162,'KHG eriheitetegurid'!$D$152:$D$162)</f>
        <v>#N/A</v>
      </c>
      <c r="F99" s="365" t="str">
        <f t="shared" si="0"/>
        <v/>
      </c>
    </row>
    <row r="100" spans="2:6" ht="14.85" customHeight="1">
      <c r="B100" s="117"/>
      <c r="C100" s="402"/>
      <c r="D100" s="307"/>
      <c r="E100" s="343" t="e">
        <f>LOOKUP(C100,'KHG eriheitetegurid'!$B$152:$B$162,'KHG eriheitetegurid'!$D$152:$D$162)</f>
        <v>#N/A</v>
      </c>
      <c r="F100" s="365" t="str">
        <f t="shared" si="0"/>
        <v/>
      </c>
    </row>
    <row r="101" spans="2:6" ht="14.85" customHeight="1">
      <c r="B101" s="117"/>
      <c r="C101" s="402"/>
      <c r="D101" s="307"/>
      <c r="E101" s="343" t="e">
        <f>LOOKUP(C101,'KHG eriheitetegurid'!$B$152:$B$162,'KHG eriheitetegurid'!$D$152:$D$162)</f>
        <v>#N/A</v>
      </c>
      <c r="F101" s="365" t="str">
        <f t="shared" si="0"/>
        <v/>
      </c>
    </row>
    <row r="102" spans="2:6" ht="14.85" customHeight="1" thickBot="1">
      <c r="B102" s="164"/>
      <c r="C102" s="404"/>
      <c r="D102" s="307"/>
      <c r="E102" s="343" t="e">
        <f>LOOKUP(C102,'KHG eriheitetegurid'!$B$152:$B$162,'KHG eriheitetegurid'!$D$152:$D$162)</f>
        <v>#N/A</v>
      </c>
      <c r="F102" s="365" t="str">
        <f t="shared" si="0"/>
        <v/>
      </c>
    </row>
    <row r="103" spans="2:6" ht="14.85" customHeight="1" thickBot="1">
      <c r="B103" s="164"/>
      <c r="C103" s="165" t="s">
        <v>164</v>
      </c>
      <c r="D103" s="166"/>
      <c r="E103" s="167"/>
      <c r="F103" s="367">
        <f>SUM(F92:F102)</f>
        <v>0</v>
      </c>
    </row>
    <row r="104" spans="2:6" ht="14.85" customHeight="1">
      <c r="C104" s="1"/>
      <c r="D104" s="1"/>
      <c r="F104" s="1"/>
    </row>
    <row r="105" spans="2:6" ht="14.85" customHeight="1" thickBot="1">
      <c r="C105" s="1"/>
      <c r="D105" s="1"/>
      <c r="F105" s="1"/>
    </row>
    <row r="106" spans="2:6" ht="14.85" customHeight="1">
      <c r="B106" s="653" t="s">
        <v>28</v>
      </c>
      <c r="C106" s="653" t="s">
        <v>52</v>
      </c>
      <c r="D106" s="666" t="s">
        <v>161</v>
      </c>
      <c r="E106" s="669" t="s">
        <v>162</v>
      </c>
      <c r="F106" s="663" t="s">
        <v>148</v>
      </c>
    </row>
    <row r="107" spans="2:6" ht="14.85" customHeight="1">
      <c r="B107" s="665"/>
      <c r="C107" s="665"/>
      <c r="D107" s="667"/>
      <c r="E107" s="670"/>
      <c r="F107" s="672"/>
    </row>
    <row r="108" spans="2:6" ht="14.85" customHeight="1">
      <c r="B108" s="665"/>
      <c r="C108" s="665"/>
      <c r="D108" s="667"/>
      <c r="E108" s="670"/>
      <c r="F108" s="672"/>
    </row>
    <row r="109" spans="2:6" ht="14.85" customHeight="1" thickBot="1">
      <c r="B109" s="654"/>
      <c r="C109" s="654"/>
      <c r="D109" s="668"/>
      <c r="E109" s="671"/>
      <c r="F109" s="664"/>
    </row>
    <row r="110" spans="2:6" ht="14.85" customHeight="1">
      <c r="B110" s="112">
        <f>ÜLDANDMED!I14</f>
        <v>2029</v>
      </c>
      <c r="C110" s="168" t="s">
        <v>163</v>
      </c>
      <c r="D110" s="161"/>
      <c r="E110" s="114"/>
      <c r="F110" s="162"/>
    </row>
    <row r="111" spans="2:6" ht="14.85" customHeight="1">
      <c r="B111" s="117"/>
      <c r="C111" s="402"/>
      <c r="D111" s="307"/>
      <c r="E111" s="343" t="e">
        <f>LOOKUP(C111,'KHG eriheitetegurid'!$B$152:$B$162,'KHG eriheitetegurid'!$D$152:$D$162)</f>
        <v>#N/A</v>
      </c>
      <c r="F111" s="365" t="str">
        <f t="shared" si="0"/>
        <v/>
      </c>
    </row>
    <row r="112" spans="2:6" ht="14.85" customHeight="1">
      <c r="B112" s="117"/>
      <c r="C112" s="402"/>
      <c r="D112" s="307"/>
      <c r="E112" s="343" t="e">
        <f>LOOKUP(C112,'KHG eriheitetegurid'!$B$152:$B$162,'KHG eriheitetegurid'!$D$152:$D$162)</f>
        <v>#N/A</v>
      </c>
      <c r="F112" s="365" t="str">
        <f t="shared" si="0"/>
        <v/>
      </c>
    </row>
    <row r="113" spans="2:6" ht="14.85" customHeight="1">
      <c r="B113" s="117"/>
      <c r="C113" s="402"/>
      <c r="D113" s="307"/>
      <c r="E113" s="343" t="e">
        <f>LOOKUP(C113,'KHG eriheitetegurid'!$B$152:$B$162,'KHG eriheitetegurid'!$D$152:$D$162)</f>
        <v>#N/A</v>
      </c>
      <c r="F113" s="365" t="str">
        <f t="shared" si="0"/>
        <v/>
      </c>
    </row>
    <row r="114" spans="2:6" ht="14.85" customHeight="1">
      <c r="B114" s="117"/>
      <c r="C114" s="402"/>
      <c r="D114" s="307"/>
      <c r="E114" s="343" t="e">
        <f>LOOKUP(C114,'KHG eriheitetegurid'!$B$152:$B$162,'KHG eriheitetegurid'!$D$152:$D$162)</f>
        <v>#N/A</v>
      </c>
      <c r="F114" s="365" t="str">
        <f t="shared" si="0"/>
        <v/>
      </c>
    </row>
    <row r="115" spans="2:6" ht="14.85" customHeight="1">
      <c r="B115" s="117"/>
      <c r="C115" s="402"/>
      <c r="D115" s="307"/>
      <c r="E115" s="343" t="e">
        <f>LOOKUP(C115,'KHG eriheitetegurid'!$B$152:$B$162,'KHG eriheitetegurid'!$D$152:$D$162)</f>
        <v>#N/A</v>
      </c>
      <c r="F115" s="365" t="str">
        <f t="shared" si="0"/>
        <v/>
      </c>
    </row>
    <row r="116" spans="2:6" ht="14.85" customHeight="1">
      <c r="B116" s="117"/>
      <c r="C116" s="402"/>
      <c r="D116" s="307"/>
      <c r="E116" s="343" t="e">
        <f>LOOKUP(C116,'KHG eriheitetegurid'!$B$152:$B$162,'KHG eriheitetegurid'!$D$152:$D$162)</f>
        <v>#N/A</v>
      </c>
      <c r="F116" s="365" t="str">
        <f t="shared" ref="F116:F140" si="1">_xlfn.IFNA(D116*E116/1000,"")</f>
        <v/>
      </c>
    </row>
    <row r="117" spans="2:6" ht="14.85" customHeight="1">
      <c r="B117" s="117"/>
      <c r="C117" s="402"/>
      <c r="D117" s="307"/>
      <c r="E117" s="343" t="e">
        <f>LOOKUP(C117,'KHG eriheitetegurid'!$B$152:$B$162,'KHG eriheitetegurid'!$D$152:$D$162)</f>
        <v>#N/A</v>
      </c>
      <c r="F117" s="365" t="str">
        <f t="shared" si="1"/>
        <v/>
      </c>
    </row>
    <row r="118" spans="2:6" ht="14.85" customHeight="1">
      <c r="B118" s="117"/>
      <c r="C118" s="402"/>
      <c r="D118" s="307"/>
      <c r="E118" s="343" t="e">
        <f>LOOKUP(C118,'KHG eriheitetegurid'!$B$152:$B$162,'KHG eriheitetegurid'!$D$152:$D$162)</f>
        <v>#N/A</v>
      </c>
      <c r="F118" s="365" t="str">
        <f t="shared" si="1"/>
        <v/>
      </c>
    </row>
    <row r="119" spans="2:6" ht="14.85" customHeight="1">
      <c r="B119" s="117"/>
      <c r="C119" s="402"/>
      <c r="D119" s="307"/>
      <c r="E119" s="343" t="e">
        <f>LOOKUP(C119,'KHG eriheitetegurid'!$B$152:$B$162,'KHG eriheitetegurid'!$D$152:$D$162)</f>
        <v>#N/A</v>
      </c>
      <c r="F119" s="365" t="str">
        <f t="shared" si="1"/>
        <v/>
      </c>
    </row>
    <row r="120" spans="2:6" ht="14.85" customHeight="1">
      <c r="B120" s="117"/>
      <c r="C120" s="402"/>
      <c r="D120" s="307"/>
      <c r="E120" s="343" t="e">
        <f>LOOKUP(C120,'KHG eriheitetegurid'!$B$152:$B$162,'KHG eriheitetegurid'!$D$152:$D$162)</f>
        <v>#N/A</v>
      </c>
      <c r="F120" s="365" t="str">
        <f t="shared" si="1"/>
        <v/>
      </c>
    </row>
    <row r="121" spans="2:6" ht="14.85" customHeight="1" thickBot="1">
      <c r="B121" s="164"/>
      <c r="C121" s="404"/>
      <c r="D121" s="308"/>
      <c r="E121" s="341" t="e">
        <f>LOOKUP(C121,'KHG eriheitetegurid'!$B$152:$B$162,'KHG eriheitetegurid'!$D$152:$D$162)</f>
        <v>#N/A</v>
      </c>
      <c r="F121" s="365" t="str">
        <f t="shared" si="1"/>
        <v/>
      </c>
    </row>
    <row r="122" spans="2:6" ht="14.85" customHeight="1" thickBot="1">
      <c r="B122" s="164"/>
      <c r="C122" s="165" t="s">
        <v>164</v>
      </c>
      <c r="D122" s="166"/>
      <c r="E122" s="167"/>
      <c r="F122" s="367">
        <f>SUM(F111:F121)</f>
        <v>0</v>
      </c>
    </row>
    <row r="123" spans="2:6" ht="14.85" customHeight="1">
      <c r="C123" s="1"/>
      <c r="D123" s="1"/>
      <c r="F123" s="1"/>
    </row>
    <row r="124" spans="2:6" ht="14.85" customHeight="1" thickBot="1">
      <c r="C124" s="1"/>
      <c r="D124" s="1"/>
      <c r="F124" s="1"/>
    </row>
    <row r="125" spans="2:6" ht="14.85" customHeight="1">
      <c r="B125" s="653" t="s">
        <v>28</v>
      </c>
      <c r="C125" s="653" t="s">
        <v>52</v>
      </c>
      <c r="D125" s="666" t="s">
        <v>161</v>
      </c>
      <c r="E125" s="669" t="s">
        <v>162</v>
      </c>
      <c r="F125" s="663" t="s">
        <v>148</v>
      </c>
    </row>
    <row r="126" spans="2:6" ht="14.85" customHeight="1">
      <c r="B126" s="665"/>
      <c r="C126" s="665"/>
      <c r="D126" s="667"/>
      <c r="E126" s="670"/>
      <c r="F126" s="672"/>
    </row>
    <row r="127" spans="2:6" ht="14.85" customHeight="1">
      <c r="B127" s="665"/>
      <c r="C127" s="665"/>
      <c r="D127" s="667"/>
      <c r="E127" s="670"/>
      <c r="F127" s="672"/>
    </row>
    <row r="128" spans="2:6" ht="14.85" customHeight="1" thickBot="1">
      <c r="B128" s="654"/>
      <c r="C128" s="654"/>
      <c r="D128" s="668"/>
      <c r="E128" s="671"/>
      <c r="F128" s="664"/>
    </row>
    <row r="129" spans="2:6" ht="14.85" customHeight="1">
      <c r="B129" s="112">
        <f>ÜLDANDMED!J14</f>
        <v>2030</v>
      </c>
      <c r="C129" s="168" t="s">
        <v>163</v>
      </c>
      <c r="D129" s="161"/>
      <c r="E129" s="114"/>
      <c r="F129" s="162"/>
    </row>
    <row r="130" spans="2:6" ht="14.85" customHeight="1">
      <c r="B130" s="117"/>
      <c r="C130" s="402"/>
      <c r="D130" s="309"/>
      <c r="E130" s="342" t="e">
        <f>LOOKUP(C130,'KHG eriheitetegurid'!$B$152:$B$162,'KHG eriheitetegurid'!$D$152:$D$162)</f>
        <v>#N/A</v>
      </c>
      <c r="F130" s="365" t="str">
        <f t="shared" si="1"/>
        <v/>
      </c>
    </row>
    <row r="131" spans="2:6" ht="14.85" customHeight="1">
      <c r="B131" s="117"/>
      <c r="C131" s="402"/>
      <c r="D131" s="310"/>
      <c r="E131" s="343" t="e">
        <f>LOOKUP(C131,'KHG eriheitetegurid'!$B$152:$B$162,'KHG eriheitetegurid'!$D$152:$D$162)</f>
        <v>#N/A</v>
      </c>
      <c r="F131" s="365" t="str">
        <f t="shared" si="1"/>
        <v/>
      </c>
    </row>
    <row r="132" spans="2:6" ht="14.85" customHeight="1">
      <c r="B132" s="117"/>
      <c r="C132" s="402"/>
      <c r="D132" s="310"/>
      <c r="E132" s="343" t="e">
        <f>LOOKUP(C132,'KHG eriheitetegurid'!$B$152:$B$162,'KHG eriheitetegurid'!$D$152:$D$162)</f>
        <v>#N/A</v>
      </c>
      <c r="F132" s="365" t="str">
        <f t="shared" si="1"/>
        <v/>
      </c>
    </row>
    <row r="133" spans="2:6" ht="14.85" customHeight="1">
      <c r="B133" s="117"/>
      <c r="C133" s="402"/>
      <c r="D133" s="310"/>
      <c r="E133" s="343" t="e">
        <f>LOOKUP(C133,'KHG eriheitetegurid'!$B$152:$B$162,'KHG eriheitetegurid'!$D$152:$D$162)</f>
        <v>#N/A</v>
      </c>
      <c r="F133" s="365" t="str">
        <f t="shared" si="1"/>
        <v/>
      </c>
    </row>
    <row r="134" spans="2:6" ht="14.85" customHeight="1">
      <c r="B134" s="117"/>
      <c r="C134" s="402"/>
      <c r="D134" s="310"/>
      <c r="E134" s="343" t="e">
        <f>LOOKUP(C134,'KHG eriheitetegurid'!$B$152:$B$162,'KHG eriheitetegurid'!$D$152:$D$162)</f>
        <v>#N/A</v>
      </c>
      <c r="F134" s="365" t="str">
        <f t="shared" si="1"/>
        <v/>
      </c>
    </row>
    <row r="135" spans="2:6" ht="14.85" customHeight="1">
      <c r="B135" s="117"/>
      <c r="C135" s="402"/>
      <c r="D135" s="310"/>
      <c r="E135" s="343" t="e">
        <f>LOOKUP(C135,'KHG eriheitetegurid'!$B$152:$B$162,'KHG eriheitetegurid'!$D$152:$D$162)</f>
        <v>#N/A</v>
      </c>
      <c r="F135" s="365" t="str">
        <f t="shared" si="1"/>
        <v/>
      </c>
    </row>
    <row r="136" spans="2:6" ht="14.85" customHeight="1">
      <c r="B136" s="117"/>
      <c r="C136" s="402"/>
      <c r="D136" s="310"/>
      <c r="E136" s="343" t="e">
        <f>LOOKUP(C136,'KHG eriheitetegurid'!$B$152:$B$162,'KHG eriheitetegurid'!$D$152:$D$162)</f>
        <v>#N/A</v>
      </c>
      <c r="F136" s="365" t="str">
        <f t="shared" si="1"/>
        <v/>
      </c>
    </row>
    <row r="137" spans="2:6" ht="14.85" customHeight="1">
      <c r="B137" s="117"/>
      <c r="C137" s="402"/>
      <c r="D137" s="310"/>
      <c r="E137" s="343" t="e">
        <f>LOOKUP(C137,'KHG eriheitetegurid'!$B$152:$B$162,'KHG eriheitetegurid'!$D$152:$D$162)</f>
        <v>#N/A</v>
      </c>
      <c r="F137" s="365" t="str">
        <f t="shared" si="1"/>
        <v/>
      </c>
    </row>
    <row r="138" spans="2:6" ht="14.85" customHeight="1">
      <c r="B138" s="117"/>
      <c r="C138" s="402"/>
      <c r="D138" s="310"/>
      <c r="E138" s="343" t="e">
        <f>LOOKUP(C138,'KHG eriheitetegurid'!$B$152:$B$162,'KHG eriheitetegurid'!$D$152:$D$162)</f>
        <v>#N/A</v>
      </c>
      <c r="F138" s="365" t="str">
        <f t="shared" si="1"/>
        <v/>
      </c>
    </row>
    <row r="139" spans="2:6" ht="14.85" customHeight="1">
      <c r="B139" s="117"/>
      <c r="C139" s="402"/>
      <c r="D139" s="310"/>
      <c r="E139" s="343" t="e">
        <f>LOOKUP(C139,'KHG eriheitetegurid'!$B$152:$B$162,'KHG eriheitetegurid'!$D$152:$D$162)</f>
        <v>#N/A</v>
      </c>
      <c r="F139" s="365" t="str">
        <f t="shared" si="1"/>
        <v/>
      </c>
    </row>
    <row r="140" spans="2:6" ht="14.85" customHeight="1" thickBot="1">
      <c r="B140" s="164"/>
      <c r="C140" s="404"/>
      <c r="D140" s="311"/>
      <c r="E140" s="368" t="e">
        <f>LOOKUP(C140,'KHG eriheitetegurid'!$B$152:$B$162,'KHG eriheitetegurid'!$D$152:$D$162)</f>
        <v>#N/A</v>
      </c>
      <c r="F140" s="369" t="str">
        <f t="shared" si="1"/>
        <v/>
      </c>
    </row>
    <row r="141" spans="2:6" ht="14.85" customHeight="1" thickBot="1">
      <c r="B141" s="164"/>
      <c r="C141" s="165" t="s">
        <v>164</v>
      </c>
      <c r="D141" s="166"/>
      <c r="E141" s="167"/>
      <c r="F141" s="367">
        <f>SUM(F130:F140)</f>
        <v>0</v>
      </c>
    </row>
  </sheetData>
  <mergeCells count="37">
    <mergeCell ref="B125:B128"/>
    <mergeCell ref="C125:C128"/>
    <mergeCell ref="D125:D128"/>
    <mergeCell ref="E125:E128"/>
    <mergeCell ref="F125:F128"/>
    <mergeCell ref="B106:B109"/>
    <mergeCell ref="C106:C109"/>
    <mergeCell ref="D106:D109"/>
    <mergeCell ref="E106:E109"/>
    <mergeCell ref="F106:F109"/>
    <mergeCell ref="B87:B90"/>
    <mergeCell ref="C87:C90"/>
    <mergeCell ref="D87:D90"/>
    <mergeCell ref="E87:E90"/>
    <mergeCell ref="F87:F90"/>
    <mergeCell ref="B68:B71"/>
    <mergeCell ref="C68:C71"/>
    <mergeCell ref="D68:D71"/>
    <mergeCell ref="E68:E71"/>
    <mergeCell ref="F68:F71"/>
    <mergeCell ref="B49:B52"/>
    <mergeCell ref="C49:C52"/>
    <mergeCell ref="D49:D52"/>
    <mergeCell ref="E49:E52"/>
    <mergeCell ref="F49:F52"/>
    <mergeCell ref="B30:B33"/>
    <mergeCell ref="C30:C33"/>
    <mergeCell ref="D30:D33"/>
    <mergeCell ref="E30:E33"/>
    <mergeCell ref="F30:F33"/>
    <mergeCell ref="B3:P3"/>
    <mergeCell ref="B4:P4"/>
    <mergeCell ref="B11:B14"/>
    <mergeCell ref="C11:C14"/>
    <mergeCell ref="D11:D14"/>
    <mergeCell ref="E11:E14"/>
    <mergeCell ref="F11:F14"/>
  </mergeCells>
  <pageMargins left="0.70866141732283472" right="0.70866141732283472" top="0.74803149606299213" bottom="0.74803149606299213" header="0.31496062992125984" footer="0.31496062992125984"/>
  <pageSetup scale="77"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49E4E3A6-A5CF-4C72-8A09-40E579C1C6B7}">
          <x14:formula1>
            <xm:f>'KHG eriheitetegurid'!$B$152:$B$162</xm:f>
          </x14:formula1>
          <xm:sqref>C111:C121 C130:C140 C54:C64 C35:C45 C92:C102 C16:C26 C73:C83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B44B1-AD8C-4460-9358-9F03A1D75967}">
  <sheetPr>
    <tabColor rgb="FFF4B084"/>
    <pageSetUpPr fitToPage="1"/>
  </sheetPr>
  <dimension ref="B2:Q162"/>
  <sheetViews>
    <sheetView showGridLines="0" zoomScaleNormal="100" workbookViewId="0">
      <pane xSplit="1" ySplit="2" topLeftCell="B3" activePane="bottomRight" state="frozen"/>
      <selection pane="bottomRight" activeCell="F29" sqref="F29"/>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62.140625" style="4" customWidth="1"/>
    <col min="4" max="4" width="17.7109375" style="62" customWidth="1"/>
    <col min="5" max="5" width="11.7109375" style="1" customWidth="1"/>
    <col min="6" max="12" width="9.140625" style="1"/>
    <col min="13" max="13" width="15.7109375" style="1" customWidth="1"/>
    <col min="14" max="16384" width="9.140625" style="1"/>
  </cols>
  <sheetData>
    <row r="2" spans="2:15" ht="18.600000000000001" customHeight="1">
      <c r="B2" s="94" t="s">
        <v>165</v>
      </c>
      <c r="C2" s="134"/>
    </row>
    <row r="3" spans="2:15" ht="14.85" customHeight="1">
      <c r="B3" s="158" t="s">
        <v>166</v>
      </c>
      <c r="C3" s="541"/>
      <c r="D3" s="542"/>
      <c r="E3" s="543"/>
      <c r="F3" s="543"/>
      <c r="G3" s="543"/>
      <c r="H3" s="543"/>
      <c r="I3" s="543"/>
      <c r="J3" s="543"/>
      <c r="K3" s="543"/>
      <c r="L3" s="543"/>
      <c r="M3" s="543"/>
      <c r="N3" s="543"/>
      <c r="O3" s="543"/>
    </row>
    <row r="4" spans="2:15" ht="52.5" customHeight="1">
      <c r="B4" s="648" t="s">
        <v>167</v>
      </c>
      <c r="C4" s="648"/>
      <c r="D4" s="648"/>
      <c r="E4" s="648"/>
      <c r="F4" s="648"/>
      <c r="G4" s="648"/>
      <c r="H4" s="648"/>
      <c r="I4" s="648"/>
      <c r="J4" s="648"/>
      <c r="K4" s="648"/>
      <c r="L4" s="648"/>
      <c r="M4" s="648"/>
      <c r="N4" s="648"/>
      <c r="O4" s="648"/>
    </row>
    <row r="5" spans="2:15" ht="21" customHeight="1">
      <c r="B5" s="648" t="s">
        <v>168</v>
      </c>
      <c r="C5" s="648"/>
      <c r="D5" s="648"/>
      <c r="E5" s="648"/>
      <c r="F5" s="648"/>
      <c r="G5" s="648"/>
      <c r="H5" s="648"/>
      <c r="I5" s="648"/>
      <c r="J5" s="648"/>
      <c r="K5" s="648"/>
      <c r="L5" s="648"/>
      <c r="M5" s="648"/>
      <c r="N5" s="648"/>
      <c r="O5" s="648"/>
    </row>
    <row r="6" spans="2:15" ht="16.5" customHeight="1">
      <c r="B6" s="158" t="s">
        <v>169</v>
      </c>
      <c r="C6" s="541"/>
      <c r="D6" s="542"/>
      <c r="E6" s="543"/>
      <c r="F6" s="543"/>
      <c r="G6" s="543"/>
      <c r="H6" s="543"/>
      <c r="I6" s="543"/>
      <c r="J6" s="543"/>
      <c r="K6" s="543"/>
      <c r="L6" s="543"/>
      <c r="M6" s="543"/>
      <c r="N6" s="543"/>
      <c r="O6" s="543"/>
    </row>
    <row r="7" spans="2:15" s="460" customFormat="1" ht="39.75" customHeight="1">
      <c r="B7" s="650" t="s">
        <v>170</v>
      </c>
      <c r="C7" s="650"/>
      <c r="D7" s="650"/>
      <c r="E7" s="650"/>
      <c r="F7" s="650"/>
      <c r="G7" s="650"/>
      <c r="H7" s="650"/>
      <c r="I7" s="650"/>
      <c r="J7" s="650"/>
      <c r="K7" s="650"/>
      <c r="L7" s="650"/>
      <c r="M7" s="650"/>
      <c r="N7" s="650"/>
      <c r="O7" s="650"/>
    </row>
    <row r="8" spans="2:15" ht="15">
      <c r="C8" s="1"/>
      <c r="D8" s="1"/>
    </row>
    <row r="9" spans="2:15" ht="14.85" customHeight="1">
      <c r="B9" s="99" t="s">
        <v>15</v>
      </c>
    </row>
    <row r="10" spans="2:15" ht="14.85" customHeight="1">
      <c r="C10" s="398" t="s">
        <v>61</v>
      </c>
      <c r="D10" s="135"/>
    </row>
    <row r="11" spans="2:15" ht="14.85" customHeight="1">
      <c r="C11" s="298" t="s">
        <v>16</v>
      </c>
      <c r="D11" s="4"/>
      <c r="E11" s="97"/>
      <c r="F11" s="4"/>
      <c r="H11" s="4"/>
      <c r="I11" s="62"/>
    </row>
    <row r="12" spans="2:15" ht="14.85" customHeight="1">
      <c r="C12" s="322" t="s">
        <v>17</v>
      </c>
      <c r="D12" s="4"/>
      <c r="E12" s="4"/>
      <c r="G12" s="4"/>
      <c r="H12" s="62"/>
    </row>
    <row r="13" spans="2:15" ht="14.85" customHeight="1">
      <c r="C13" s="613" t="s">
        <v>51</v>
      </c>
      <c r="D13" s="4"/>
      <c r="E13" s="4"/>
      <c r="G13" s="4"/>
      <c r="H13" s="62"/>
    </row>
    <row r="14" spans="2:15" ht="14.85" customHeight="1" thickBot="1"/>
    <row r="15" spans="2:15" ht="27.75" thickBot="1">
      <c r="B15" s="106" t="s">
        <v>28</v>
      </c>
      <c r="C15" s="106" t="s">
        <v>52</v>
      </c>
      <c r="D15" s="137" t="s">
        <v>171</v>
      </c>
    </row>
    <row r="16" spans="2:15" ht="15">
      <c r="B16" s="138">
        <f>ÜLDANDMED!D14</f>
        <v>2024</v>
      </c>
      <c r="C16" s="675" t="s">
        <v>172</v>
      </c>
      <c r="D16" s="676"/>
      <c r="E16" s="10"/>
    </row>
    <row r="17" spans="2:17" ht="14.85" customHeight="1">
      <c r="B17" s="139"/>
      <c r="C17" s="140" t="s">
        <v>173</v>
      </c>
      <c r="D17" s="142"/>
      <c r="E17" s="10"/>
    </row>
    <row r="18" spans="2:17" ht="14.85" customHeight="1">
      <c r="B18" s="139"/>
      <c r="C18" s="489"/>
      <c r="D18" s="490"/>
      <c r="E18" s="10"/>
    </row>
    <row r="19" spans="2:17" ht="14.85" customHeight="1">
      <c r="B19" s="139"/>
      <c r="C19" s="150" t="str">
        <f>IF(C18="Jah","Sisesta pesu kaal (t):","")</f>
        <v/>
      </c>
      <c r="D19" s="490"/>
      <c r="E19" s="10"/>
    </row>
    <row r="20" spans="2:17" ht="14.85" customHeight="1">
      <c r="B20" s="143"/>
      <c r="C20" s="441"/>
      <c r="D20" s="491"/>
      <c r="J20" s="64"/>
    </row>
    <row r="21" spans="2:17" ht="14.85" customHeight="1">
      <c r="B21" s="143"/>
      <c r="C21" s="412" t="str">
        <f>IF(C18="Jah","Sisesta teenusepakkuja KHG eriheitetegur (t CO₂ ekv/t):","")</f>
        <v/>
      </c>
      <c r="D21" s="442" t="s">
        <v>174</v>
      </c>
    </row>
    <row r="22" spans="2:17" ht="14.85" customHeight="1" thickBot="1">
      <c r="B22" s="143"/>
      <c r="C22" s="456"/>
      <c r="D22" s="492">
        <f>_xlfn.IFNA(C20*C22,"")</f>
        <v>0</v>
      </c>
    </row>
    <row r="23" spans="2:17" ht="14.85" customHeight="1">
      <c r="B23" s="143"/>
      <c r="C23" s="673" t="str">
        <f>IF(C18="Ei","II variant. KHG heitkoguse arvutamine pesu kaalu ja keskmise KHG eriheiteteguri järgi","")</f>
        <v/>
      </c>
      <c r="D23" s="674"/>
      <c r="K23" s="144"/>
      <c r="M23" s="144"/>
      <c r="Q23" s="145"/>
    </row>
    <row r="24" spans="2:17" ht="14.85" customHeight="1">
      <c r="B24" s="143"/>
      <c r="C24" s="496" t="str">
        <f>IF(C18="Ei","Kas teil on teada pestud pesu kaal?","")</f>
        <v/>
      </c>
      <c r="D24" s="146"/>
      <c r="M24" s="144"/>
      <c r="Q24" s="145"/>
    </row>
    <row r="25" spans="2:17" ht="14.85" customHeight="1">
      <c r="B25" s="143"/>
      <c r="C25" s="423"/>
      <c r="D25" s="493"/>
      <c r="M25" s="144"/>
      <c r="Q25" s="145"/>
    </row>
    <row r="26" spans="2:17" ht="14.85" customHeight="1">
      <c r="B26" s="143"/>
      <c r="C26" s="149" t="str">
        <f>IF(C25="Jah","Sisesta pesu kaal (t)","")</f>
        <v/>
      </c>
      <c r="D26" s="116" t="s">
        <v>175</v>
      </c>
      <c r="M26" s="144"/>
    </row>
    <row r="27" spans="2:17" ht="14.85" customHeight="1" thickBot="1">
      <c r="B27" s="143"/>
      <c r="C27" s="497"/>
      <c r="D27" s="371" t="str">
        <f>IF(C25="Jah",$C$27*pesupesemisteenus,"")</f>
        <v/>
      </c>
    </row>
    <row r="28" spans="2:17" ht="14.85" customHeight="1">
      <c r="B28" s="133"/>
      <c r="C28" s="677" t="str">
        <f>IF(C25="Ei","III variant. KHG heitkoguse arvutamine hinnangulise pesu kaalu ja keskmise KHG eriheiteteguri järgi","")</f>
        <v/>
      </c>
      <c r="D28" s="678"/>
      <c r="E28" s="10"/>
    </row>
    <row r="29" spans="2:17" ht="14.85" customHeight="1">
      <c r="B29" s="133"/>
      <c r="C29" s="119" t="str">
        <f>IF(C25="Ei","Sisesta hõivatud tubade arv aastas:","")</f>
        <v/>
      </c>
      <c r="D29" s="146"/>
      <c r="E29" s="10"/>
      <c r="Q29" s="145"/>
    </row>
    <row r="30" spans="2:17" ht="14.85" customHeight="1">
      <c r="B30" s="133"/>
      <c r="C30" s="494"/>
      <c r="D30" s="148"/>
      <c r="E30" s="10"/>
      <c r="M30" s="151"/>
    </row>
    <row r="31" spans="2:17" ht="14.85" customHeight="1">
      <c r="B31" s="147"/>
      <c r="C31" s="150" t="str">
        <f>IF(C25="Ei","Hinnanguline pesu kaal (t)","")</f>
        <v/>
      </c>
      <c r="D31" s="116" t="s">
        <v>175</v>
      </c>
      <c r="E31" s="10"/>
      <c r="M31" s="151"/>
    </row>
    <row r="32" spans="2:17" ht="14.85" customHeight="1" thickBot="1">
      <c r="B32" s="147"/>
      <c r="C32" s="372" t="str">
        <f>IF(C25="Ei",$C$30*pesu_hõivatud_tuba/1000,"")</f>
        <v/>
      </c>
      <c r="D32" s="495" t="str">
        <f>IF(C25="Ei",C32*pesupesemisteenus,"")</f>
        <v/>
      </c>
      <c r="E32" s="10"/>
    </row>
    <row r="33" spans="2:12" ht="14.85" customHeight="1" thickBot="1">
      <c r="B33" s="131"/>
      <c r="C33" s="152" t="s">
        <v>176</v>
      </c>
      <c r="D33" s="525">
        <f>SUM(D21:D22,D27:D27,D32:D32)</f>
        <v>0</v>
      </c>
    </row>
    <row r="34" spans="2:12" ht="14.85" customHeight="1">
      <c r="C34" s="1"/>
      <c r="D34" s="1"/>
    </row>
    <row r="35" spans="2:12" ht="14.85" customHeight="1" thickBot="1">
      <c r="C35" s="1"/>
      <c r="D35" s="1"/>
    </row>
    <row r="36" spans="2:12" ht="27.75" thickBot="1">
      <c r="B36" s="106" t="s">
        <v>28</v>
      </c>
      <c r="C36" s="106" t="s">
        <v>52</v>
      </c>
      <c r="D36" s="137" t="s">
        <v>171</v>
      </c>
    </row>
    <row r="37" spans="2:12" ht="14.85" customHeight="1">
      <c r="B37" s="138">
        <f>ÜLDANDMED!E14</f>
        <v>2025</v>
      </c>
      <c r="C37" s="675" t="s">
        <v>172</v>
      </c>
      <c r="D37" s="676"/>
    </row>
    <row r="38" spans="2:12" ht="14.85" customHeight="1">
      <c r="B38" s="139"/>
      <c r="C38" s="140" t="s">
        <v>173</v>
      </c>
      <c r="D38" s="142"/>
    </row>
    <row r="39" spans="2:12" ht="14.85" customHeight="1">
      <c r="B39" s="139"/>
      <c r="C39" s="489"/>
      <c r="D39" s="490"/>
    </row>
    <row r="40" spans="2:12" ht="14.85" customHeight="1">
      <c r="B40" s="139"/>
      <c r="C40" s="150" t="str">
        <f>IF(C39="Jah","Sisesta pesu kaal (t):","")</f>
        <v/>
      </c>
      <c r="D40" s="490"/>
    </row>
    <row r="41" spans="2:12" ht="14.85" customHeight="1">
      <c r="B41" s="143"/>
      <c r="C41" s="441"/>
      <c r="D41" s="491"/>
    </row>
    <row r="42" spans="2:12" ht="14.85" customHeight="1">
      <c r="B42" s="143"/>
      <c r="C42" s="412" t="str">
        <f>IF(C39="Jah","Sisesta teenusepakkuja KHG eriheitetegur (t CO₂ ekv/t):","")</f>
        <v/>
      </c>
      <c r="D42" s="442" t="s">
        <v>174</v>
      </c>
    </row>
    <row r="43" spans="2:12" ht="14.85" customHeight="1" thickBot="1">
      <c r="B43" s="143"/>
      <c r="C43" s="456"/>
      <c r="D43" s="492">
        <f>_xlfn.IFNA(C41*C43,"")</f>
        <v>0</v>
      </c>
    </row>
    <row r="44" spans="2:12" ht="14.85" customHeight="1">
      <c r="B44" s="143"/>
      <c r="C44" s="673" t="str">
        <f>IF(C39="Ei","II variant. KHG heitkoguse arvutamine pesu kaalu ja keskmise KHG eriheiteteguri järgi","")</f>
        <v/>
      </c>
      <c r="D44" s="674"/>
    </row>
    <row r="45" spans="2:12" ht="14.85" customHeight="1">
      <c r="B45" s="143"/>
      <c r="C45" s="496" t="str">
        <f>IF(C39="Ei","Kas teil on teada pestud pesu kaal?","")</f>
        <v/>
      </c>
      <c r="D45" s="146"/>
      <c r="L45" s="64"/>
    </row>
    <row r="46" spans="2:12" ht="14.85" customHeight="1">
      <c r="B46" s="143"/>
      <c r="C46" s="423"/>
      <c r="D46" s="493"/>
    </row>
    <row r="47" spans="2:12" ht="14.85" customHeight="1">
      <c r="B47" s="143"/>
      <c r="C47" s="149" t="str">
        <f>IF(C46="Jah","Sisesta pesu kaal (t)","")</f>
        <v/>
      </c>
      <c r="D47" s="116" t="s">
        <v>175</v>
      </c>
    </row>
    <row r="48" spans="2:12" ht="14.85" customHeight="1" thickBot="1">
      <c r="B48" s="143"/>
      <c r="C48" s="497"/>
      <c r="D48" s="371" t="str">
        <f>IF(C46="Jah",$C$48*pesupesemisteenus,"")</f>
        <v/>
      </c>
    </row>
    <row r="49" spans="2:4" ht="14.85" customHeight="1">
      <c r="B49" s="133"/>
      <c r="C49" s="677" t="str">
        <f>IF(C46="Ei","III variant. KHG heitkoguse arvutamine hinnangulise pesu kaalu ja keskmise KHG eriheiteteguri järgi","")</f>
        <v/>
      </c>
      <c r="D49" s="678"/>
    </row>
    <row r="50" spans="2:4" ht="14.85" customHeight="1">
      <c r="B50" s="133"/>
      <c r="C50" s="119" t="str">
        <f>IF(C46="Ei","Sisesta hõivatud tubade arv aastas:","")</f>
        <v/>
      </c>
      <c r="D50" s="146"/>
    </row>
    <row r="51" spans="2:4" ht="14.85" customHeight="1">
      <c r="B51" s="133"/>
      <c r="C51" s="494"/>
      <c r="D51" s="148"/>
    </row>
    <row r="52" spans="2:4" ht="14.85" customHeight="1">
      <c r="B52" s="147"/>
      <c r="C52" s="150" t="str">
        <f>IF(C46="Ei","Hinnanguline pesu kaal (t)","")</f>
        <v/>
      </c>
      <c r="D52" s="116" t="s">
        <v>175</v>
      </c>
    </row>
    <row r="53" spans="2:4" ht="14.85" customHeight="1" thickBot="1">
      <c r="B53" s="147"/>
      <c r="C53" s="372" t="str">
        <f>IF(C46="Ei",$C$30*pesu_hõivatud_tuba/1000,"")</f>
        <v/>
      </c>
      <c r="D53" s="495" t="str">
        <f>IF(C46="Ei",C53*pesupesemisteenus,"")</f>
        <v/>
      </c>
    </row>
    <row r="54" spans="2:4" ht="14.85" customHeight="1" thickBot="1">
      <c r="B54" s="131"/>
      <c r="C54" s="152" t="s">
        <v>176</v>
      </c>
      <c r="D54" s="525">
        <f>SUM(D42:D43,D48:D48,D53:D53)</f>
        <v>0</v>
      </c>
    </row>
    <row r="55" spans="2:4" ht="14.85" customHeight="1">
      <c r="C55" s="1"/>
      <c r="D55" s="1"/>
    </row>
    <row r="56" spans="2:4" ht="14.85" customHeight="1" thickBot="1">
      <c r="C56" s="1"/>
      <c r="D56" s="1"/>
    </row>
    <row r="57" spans="2:4" ht="27.75" thickBot="1">
      <c r="B57" s="106" t="s">
        <v>28</v>
      </c>
      <c r="C57" s="106" t="s">
        <v>52</v>
      </c>
      <c r="D57" s="137" t="s">
        <v>171</v>
      </c>
    </row>
    <row r="58" spans="2:4" ht="14.85" customHeight="1">
      <c r="B58" s="138">
        <f>ÜLDANDMED!F14</f>
        <v>2026</v>
      </c>
      <c r="C58" s="675" t="s">
        <v>172</v>
      </c>
      <c r="D58" s="676"/>
    </row>
    <row r="59" spans="2:4" ht="14.85" customHeight="1">
      <c r="B59" s="139"/>
      <c r="C59" s="140" t="s">
        <v>173</v>
      </c>
      <c r="D59" s="142"/>
    </row>
    <row r="60" spans="2:4" ht="14.85" customHeight="1">
      <c r="B60" s="139"/>
      <c r="C60" s="489"/>
      <c r="D60" s="490"/>
    </row>
    <row r="61" spans="2:4" ht="14.85" customHeight="1">
      <c r="B61" s="139"/>
      <c r="C61" s="150" t="str">
        <f>IF(C60="Jah","Sisesta pesu kaal (t):","")</f>
        <v/>
      </c>
      <c r="D61" s="490"/>
    </row>
    <row r="62" spans="2:4" ht="14.85" customHeight="1">
      <c r="B62" s="143"/>
      <c r="C62" s="441"/>
      <c r="D62" s="491"/>
    </row>
    <row r="63" spans="2:4" ht="14.85" customHeight="1">
      <c r="B63" s="143"/>
      <c r="C63" s="412" t="str">
        <f>IF(C60="Jah","Sisesta teenusepakkuja KHG eriheitetegur (t CO₂ ekv/t):","")</f>
        <v/>
      </c>
      <c r="D63" s="442" t="s">
        <v>174</v>
      </c>
    </row>
    <row r="64" spans="2:4" ht="14.85" customHeight="1" thickBot="1">
      <c r="B64" s="143"/>
      <c r="C64" s="456"/>
      <c r="D64" s="492">
        <f>_xlfn.IFNA(C62*C64,"")</f>
        <v>0</v>
      </c>
    </row>
    <row r="65" spans="2:12" ht="14.85" customHeight="1">
      <c r="B65" s="143"/>
      <c r="C65" s="673" t="str">
        <f>IF(C60="Ei","II variant. KHG heitkoguse arvutamine pesu kaalu ja keskmise KHG eriheiteteguri järgi","")</f>
        <v/>
      </c>
      <c r="D65" s="674"/>
    </row>
    <row r="66" spans="2:12" ht="14.85" customHeight="1">
      <c r="B66" s="143"/>
      <c r="C66" s="496" t="str">
        <f>IF(C60="Ei","Kas teil on teada pestud pesu kaal?","")</f>
        <v/>
      </c>
      <c r="D66" s="146"/>
    </row>
    <row r="67" spans="2:12" ht="14.85" customHeight="1">
      <c r="B67" s="143"/>
      <c r="C67" s="423"/>
      <c r="D67" s="493"/>
    </row>
    <row r="68" spans="2:12" ht="14.85" customHeight="1">
      <c r="B68" s="143"/>
      <c r="C68" s="149" t="str">
        <f>IF(C67="Jah","Sisesta pesu kaal (t)","")</f>
        <v/>
      </c>
      <c r="D68" s="116" t="s">
        <v>175</v>
      </c>
      <c r="L68" s="64"/>
    </row>
    <row r="69" spans="2:12" ht="14.85" customHeight="1" thickBot="1">
      <c r="B69" s="143"/>
      <c r="C69" s="497"/>
      <c r="D69" s="371" t="str">
        <f>IF(C67="Jah",$C$69*pesupesemisteenus,"")</f>
        <v/>
      </c>
    </row>
    <row r="70" spans="2:12" ht="14.85" customHeight="1">
      <c r="B70" s="133"/>
      <c r="C70" s="677" t="str">
        <f>IF(C67="Ei","III variant. KHG heitkoguse arvutamine hinnangulise pesu kaalu ja keskmise KHG eriheiteteguri järgi","")</f>
        <v/>
      </c>
      <c r="D70" s="678"/>
    </row>
    <row r="71" spans="2:12" ht="14.85" customHeight="1">
      <c r="B71" s="133"/>
      <c r="C71" s="119" t="str">
        <f>IF(C67="Ei","Sisesta hõivatud tubade arv aastas:","")</f>
        <v/>
      </c>
      <c r="D71" s="146"/>
    </row>
    <row r="72" spans="2:12" ht="14.85" customHeight="1">
      <c r="B72" s="133"/>
      <c r="C72" s="494">
        <v>200</v>
      </c>
      <c r="D72" s="148"/>
    </row>
    <row r="73" spans="2:12" ht="14.85" customHeight="1">
      <c r="B73" s="147"/>
      <c r="C73" s="150" t="str">
        <f>IF(C67="Ei","Hinnanguline pesu kaal (t)","")</f>
        <v/>
      </c>
      <c r="D73" s="116" t="s">
        <v>175</v>
      </c>
    </row>
    <row r="74" spans="2:12" ht="14.85" customHeight="1" thickBot="1">
      <c r="B74" s="147"/>
      <c r="C74" s="372" t="str">
        <f>IF(C67="Ei",$C$30*pesu_hõivatud_tuba/1000,"")</f>
        <v/>
      </c>
      <c r="D74" s="495" t="str">
        <f>IF(C67="Ei",C74*pesupesemisteenus,"")</f>
        <v/>
      </c>
    </row>
    <row r="75" spans="2:12" ht="14.85" customHeight="1" thickBot="1">
      <c r="B75" s="131"/>
      <c r="C75" s="152" t="s">
        <v>176</v>
      </c>
      <c r="D75" s="525">
        <f>SUM(D63:D64,D69:D69,D74:D74)</f>
        <v>0</v>
      </c>
    </row>
    <row r="76" spans="2:12" ht="14.85" customHeight="1">
      <c r="C76" s="1"/>
      <c r="D76" s="1"/>
    </row>
    <row r="77" spans="2:12" ht="14.85" customHeight="1" thickBot="1">
      <c r="C77" s="1"/>
      <c r="D77" s="1"/>
    </row>
    <row r="78" spans="2:12" ht="27.75" thickBot="1">
      <c r="B78" s="106" t="s">
        <v>28</v>
      </c>
      <c r="C78" s="106" t="s">
        <v>52</v>
      </c>
      <c r="D78" s="137" t="s">
        <v>171</v>
      </c>
    </row>
    <row r="79" spans="2:12" ht="14.85" customHeight="1">
      <c r="B79" s="138">
        <f>ÜLDANDMED!G14</f>
        <v>2027</v>
      </c>
      <c r="C79" s="675" t="s">
        <v>172</v>
      </c>
      <c r="D79" s="676"/>
    </row>
    <row r="80" spans="2:12" ht="14.85" customHeight="1">
      <c r="B80" s="139"/>
      <c r="C80" s="140" t="s">
        <v>173</v>
      </c>
      <c r="D80" s="142"/>
    </row>
    <row r="81" spans="2:12" ht="14.85" customHeight="1">
      <c r="B81" s="139"/>
      <c r="C81" s="489"/>
      <c r="D81" s="490"/>
    </row>
    <row r="82" spans="2:12" ht="14.85" customHeight="1">
      <c r="B82" s="139"/>
      <c r="C82" s="150" t="str">
        <f>IF(C81="Jah","Sisesta pesu kaal (t):","")</f>
        <v/>
      </c>
      <c r="D82" s="490"/>
    </row>
    <row r="83" spans="2:12" ht="14.85" customHeight="1">
      <c r="B83" s="143"/>
      <c r="C83" s="441"/>
      <c r="D83" s="491"/>
    </row>
    <row r="84" spans="2:12" ht="14.85" customHeight="1">
      <c r="B84" s="143"/>
      <c r="C84" s="412" t="str">
        <f>IF(C81="Jah","Sisesta teenusepakkuja KHG eriheitetegur (t CO₂ ekv/t):","")</f>
        <v/>
      </c>
      <c r="D84" s="442" t="s">
        <v>174</v>
      </c>
    </row>
    <row r="85" spans="2:12" ht="14.85" customHeight="1" thickBot="1">
      <c r="B85" s="143"/>
      <c r="C85" s="456"/>
      <c r="D85" s="492">
        <f>_xlfn.IFNA(C83*C85,"")</f>
        <v>0</v>
      </c>
    </row>
    <row r="86" spans="2:12" ht="14.85" customHeight="1">
      <c r="B86" s="143"/>
      <c r="C86" s="673" t="str">
        <f>IF(C81="Ei","II variant. KHG heitkoguse arvutamine pesu kaalu ja keskmise KHG eriheiteteguri järgi","")</f>
        <v/>
      </c>
      <c r="D86" s="674"/>
    </row>
    <row r="87" spans="2:12" ht="14.85" customHeight="1">
      <c r="B87" s="143"/>
      <c r="C87" s="496" t="str">
        <f>IF(C81="Ei","Kas teil on teada pestud pesu kaal?","")</f>
        <v/>
      </c>
      <c r="D87" s="146"/>
    </row>
    <row r="88" spans="2:12" ht="14.85" customHeight="1">
      <c r="B88" s="143"/>
      <c r="C88" s="423"/>
      <c r="D88" s="493"/>
    </row>
    <row r="89" spans="2:12" ht="14.85" customHeight="1">
      <c r="B89" s="143"/>
      <c r="C89" s="149" t="str">
        <f>IF(C88="Jah","Sisesta pesu kaal (t)","")</f>
        <v/>
      </c>
      <c r="D89" s="116" t="s">
        <v>175</v>
      </c>
    </row>
    <row r="90" spans="2:12" ht="14.85" customHeight="1" thickBot="1">
      <c r="B90" s="143"/>
      <c r="C90" s="497"/>
      <c r="D90" s="371" t="str">
        <f>IF(C88="Jah",$C$90*pesupesemisteenus,"")</f>
        <v/>
      </c>
    </row>
    <row r="91" spans="2:12" ht="14.85" customHeight="1">
      <c r="B91" s="133"/>
      <c r="C91" s="677" t="str">
        <f>IF(C88="Ei","III variant. KHG heitkoguse arvutamine hinnangulise pesu kaalu ja keskmise KHG eriheiteteguri järgi","")</f>
        <v/>
      </c>
      <c r="D91" s="678"/>
      <c r="L91" s="64"/>
    </row>
    <row r="92" spans="2:12" ht="14.85" customHeight="1">
      <c r="B92" s="133"/>
      <c r="C92" s="119" t="str">
        <f>IF(C88="Ei","Sisesta hõivatud tubade arv aastas:","")</f>
        <v/>
      </c>
      <c r="D92" s="146"/>
    </row>
    <row r="93" spans="2:12" ht="14.85" customHeight="1">
      <c r="B93" s="133"/>
      <c r="C93" s="494"/>
      <c r="D93" s="148"/>
    </row>
    <row r="94" spans="2:12" ht="14.85" customHeight="1">
      <c r="B94" s="147"/>
      <c r="C94" s="150" t="str">
        <f>IF(C88="Ei","Hinnanguline pesu kaal (t)","")</f>
        <v/>
      </c>
      <c r="D94" s="116" t="s">
        <v>175</v>
      </c>
    </row>
    <row r="95" spans="2:12" ht="14.85" customHeight="1" thickBot="1">
      <c r="B95" s="147"/>
      <c r="C95" s="372" t="str">
        <f>IF(C88="Ei",$C$30*pesu_hõivatud_tuba/1000,"")</f>
        <v/>
      </c>
      <c r="D95" s="495" t="str">
        <f>IF(C88="Ei",C95*pesupesemisteenus,"")</f>
        <v/>
      </c>
    </row>
    <row r="96" spans="2:12" ht="14.85" customHeight="1" thickBot="1">
      <c r="B96" s="131"/>
      <c r="C96" s="152" t="s">
        <v>176</v>
      </c>
      <c r="D96" s="525">
        <f>SUM(D84:D85,D90:D90,D95:D95)</f>
        <v>0</v>
      </c>
    </row>
    <row r="97" spans="2:4" ht="14.85" customHeight="1">
      <c r="C97" s="1"/>
      <c r="D97" s="1"/>
    </row>
    <row r="98" spans="2:4" ht="14.85" customHeight="1" thickBot="1">
      <c r="C98" s="1"/>
      <c r="D98" s="1"/>
    </row>
    <row r="99" spans="2:4" ht="27.75" thickBot="1">
      <c r="B99" s="106" t="s">
        <v>28</v>
      </c>
      <c r="C99" s="106" t="s">
        <v>52</v>
      </c>
      <c r="D99" s="137" t="s">
        <v>171</v>
      </c>
    </row>
    <row r="100" spans="2:4" ht="14.85" customHeight="1">
      <c r="B100" s="138">
        <f>ÜLDANDMED!H14</f>
        <v>2028</v>
      </c>
      <c r="C100" s="675" t="s">
        <v>172</v>
      </c>
      <c r="D100" s="676"/>
    </row>
    <row r="101" spans="2:4" ht="14.85" customHeight="1">
      <c r="B101" s="139"/>
      <c r="C101" s="140" t="s">
        <v>173</v>
      </c>
      <c r="D101" s="142"/>
    </row>
    <row r="102" spans="2:4" ht="14.85" customHeight="1">
      <c r="B102" s="139"/>
      <c r="C102" s="489"/>
      <c r="D102" s="490"/>
    </row>
    <row r="103" spans="2:4" ht="14.85" customHeight="1">
      <c r="B103" s="139"/>
      <c r="C103" s="150" t="str">
        <f>IF(C102="Jah","Sisesta pesu kaal (t):","")</f>
        <v/>
      </c>
      <c r="D103" s="490"/>
    </row>
    <row r="104" spans="2:4" ht="14.85" customHeight="1">
      <c r="B104" s="143"/>
      <c r="C104" s="441"/>
      <c r="D104" s="491"/>
    </row>
    <row r="105" spans="2:4" ht="14.85" customHeight="1">
      <c r="B105" s="143"/>
      <c r="C105" s="412" t="str">
        <f>IF(C102="Jah","Sisesta teenusepakkuja KHG eriheitetegur (t CO₂ ekv/t):","")</f>
        <v/>
      </c>
      <c r="D105" s="442" t="s">
        <v>174</v>
      </c>
    </row>
    <row r="106" spans="2:4" ht="14.85" customHeight="1" thickBot="1">
      <c r="B106" s="143"/>
      <c r="C106" s="456"/>
      <c r="D106" s="492">
        <f>_xlfn.IFNA(C104*C106,"")</f>
        <v>0</v>
      </c>
    </row>
    <row r="107" spans="2:4" ht="14.85" customHeight="1">
      <c r="B107" s="143"/>
      <c r="C107" s="673" t="str">
        <f>IF(C102="Ei","II variant. KHG heitkoguse arvutamine pesu kaalu ja keskmise KHG eriheiteteguri järgi","")</f>
        <v/>
      </c>
      <c r="D107" s="674"/>
    </row>
    <row r="108" spans="2:4" ht="14.85" customHeight="1">
      <c r="B108" s="143"/>
      <c r="C108" s="496" t="str">
        <f>IF(C102="Ei","Kas teil on teada pestud pesu kaal?","")</f>
        <v/>
      </c>
      <c r="D108" s="146"/>
    </row>
    <row r="109" spans="2:4" ht="14.85" customHeight="1">
      <c r="B109" s="143"/>
      <c r="C109" s="423"/>
      <c r="D109" s="493"/>
    </row>
    <row r="110" spans="2:4" ht="14.85" customHeight="1">
      <c r="B110" s="143"/>
      <c r="C110" s="149" t="str">
        <f>IF(C109="Jah","Sisesta pesu kaal (t)","")</f>
        <v/>
      </c>
      <c r="D110" s="116" t="s">
        <v>175</v>
      </c>
    </row>
    <row r="111" spans="2:4" ht="14.85" customHeight="1" thickBot="1">
      <c r="B111" s="143"/>
      <c r="C111" s="497"/>
      <c r="D111" s="371" t="str">
        <f>IF(C109="Jah",$C$111*pesupesemisteenus,"")</f>
        <v/>
      </c>
    </row>
    <row r="112" spans="2:4" ht="14.85" customHeight="1">
      <c r="B112" s="133"/>
      <c r="C112" s="677" t="str">
        <f>IF(C109="Ei","III variant. KHG heitkoguse arvutamine hinnangulise pesu kaalu ja keskmise KHG eriheiteteguri järgi","")</f>
        <v/>
      </c>
      <c r="D112" s="678"/>
    </row>
    <row r="113" spans="2:12" ht="14.85" customHeight="1">
      <c r="B113" s="133"/>
      <c r="C113" s="119" t="str">
        <f>IF(C109="Ei","Sisesta hõivatud tubade arv aastas:","")</f>
        <v/>
      </c>
      <c r="D113" s="146"/>
    </row>
    <row r="114" spans="2:12" ht="14.85" customHeight="1">
      <c r="B114" s="133"/>
      <c r="C114" s="494"/>
      <c r="D114" s="148"/>
      <c r="L114" s="64"/>
    </row>
    <row r="115" spans="2:12" ht="14.85" customHeight="1">
      <c r="B115" s="147"/>
      <c r="C115" s="150" t="str">
        <f>IF(C109="Ei","Hinnanguline pesu kaal (t)","")</f>
        <v/>
      </c>
      <c r="D115" s="116" t="s">
        <v>175</v>
      </c>
    </row>
    <row r="116" spans="2:12" ht="14.85" customHeight="1" thickBot="1">
      <c r="B116" s="147"/>
      <c r="C116" s="372" t="str">
        <f>IF(C109="Ei",$C$30*pesu_hõivatud_tuba/1000,"")</f>
        <v/>
      </c>
      <c r="D116" s="495" t="str">
        <f>IF(C109="Ei",C116*pesupesemisteenus,"")</f>
        <v/>
      </c>
    </row>
    <row r="117" spans="2:12" ht="14.85" customHeight="1" thickBot="1">
      <c r="B117" s="131"/>
      <c r="C117" s="152" t="s">
        <v>176</v>
      </c>
      <c r="D117" s="525">
        <f>SUM(D105:D106,D111:D111,D116:D116)</f>
        <v>0</v>
      </c>
    </row>
    <row r="118" spans="2:12" ht="14.85" customHeight="1">
      <c r="C118" s="1"/>
      <c r="D118" s="1"/>
    </row>
    <row r="119" spans="2:12" ht="14.85" customHeight="1" thickBot="1">
      <c r="C119" s="1"/>
      <c r="D119" s="1"/>
    </row>
    <row r="120" spans="2:12" ht="27.75" thickBot="1">
      <c r="B120" s="106" t="s">
        <v>28</v>
      </c>
      <c r="C120" s="106" t="s">
        <v>52</v>
      </c>
      <c r="D120" s="137" t="s">
        <v>171</v>
      </c>
    </row>
    <row r="121" spans="2:12" ht="14.85" customHeight="1">
      <c r="B121" s="138">
        <f>ÜLDANDMED!I14</f>
        <v>2029</v>
      </c>
      <c r="C121" s="675" t="s">
        <v>172</v>
      </c>
      <c r="D121" s="676"/>
    </row>
    <row r="122" spans="2:12" ht="14.85" customHeight="1">
      <c r="B122" s="139"/>
      <c r="C122" s="140" t="s">
        <v>173</v>
      </c>
      <c r="D122" s="142"/>
    </row>
    <row r="123" spans="2:12" ht="14.85" customHeight="1">
      <c r="B123" s="139"/>
      <c r="C123" s="489"/>
      <c r="D123" s="490"/>
    </row>
    <row r="124" spans="2:12" ht="14.85" customHeight="1">
      <c r="B124" s="139"/>
      <c r="C124" s="150" t="str">
        <f>IF(C123="Jah","Sisesta pesu kaal (t):","")</f>
        <v/>
      </c>
      <c r="D124" s="490"/>
    </row>
    <row r="125" spans="2:12" ht="14.85" customHeight="1">
      <c r="B125" s="143"/>
      <c r="C125" s="441"/>
      <c r="D125" s="491"/>
    </row>
    <row r="126" spans="2:12" ht="14.85" customHeight="1">
      <c r="B126" s="143"/>
      <c r="C126" s="412" t="str">
        <f>IF(C123="Jah","Sisesta teenusepakkuja KHG eriheitetegur (t CO₂ ekv/t):","")</f>
        <v/>
      </c>
      <c r="D126" s="442" t="s">
        <v>174</v>
      </c>
    </row>
    <row r="127" spans="2:12" ht="14.85" customHeight="1" thickBot="1">
      <c r="B127" s="143"/>
      <c r="C127" s="456"/>
      <c r="D127" s="492">
        <f>_xlfn.IFNA(C125*C127,"")</f>
        <v>0</v>
      </c>
    </row>
    <row r="128" spans="2:12" ht="14.85" customHeight="1">
      <c r="B128" s="143"/>
      <c r="C128" s="673" t="str">
        <f>IF(C123="Ei","II variant. KHG heitkoguse arvutamine pesu kaalu ja keskmise KHG eriheiteteguri järgi","")</f>
        <v/>
      </c>
      <c r="D128" s="674"/>
    </row>
    <row r="129" spans="2:12" ht="14.85" customHeight="1">
      <c r="B129" s="143"/>
      <c r="C129" s="496" t="str">
        <f>IF(C123="Ei","Kas teil on teada pestud pesu kaal?","")</f>
        <v/>
      </c>
      <c r="D129" s="146"/>
    </row>
    <row r="130" spans="2:12" ht="14.85" customHeight="1">
      <c r="B130" s="143"/>
      <c r="C130" s="423"/>
      <c r="D130" s="493"/>
    </row>
    <row r="131" spans="2:12" ht="14.85" customHeight="1">
      <c r="B131" s="143"/>
      <c r="C131" s="149" t="str">
        <f>IF(C130="Jah","Sisesta pesu kaal (t)","")</f>
        <v/>
      </c>
      <c r="D131" s="116" t="s">
        <v>175</v>
      </c>
    </row>
    <row r="132" spans="2:12" ht="14.85" customHeight="1" thickBot="1">
      <c r="B132" s="143"/>
      <c r="C132" s="497"/>
      <c r="D132" s="371" t="str">
        <f>IF(C130="Jah",$C$132*pesupesemisteenus,"")</f>
        <v/>
      </c>
    </row>
    <row r="133" spans="2:12" ht="14.85" customHeight="1">
      <c r="B133" s="133"/>
      <c r="C133" s="677" t="str">
        <f>IF(C130="Ei","III variant. KHG heitkoguse arvutamine hinnangulise pesu kaalu ja keskmise KHG eriheiteteguri järgi","")</f>
        <v/>
      </c>
      <c r="D133" s="678"/>
    </row>
    <row r="134" spans="2:12" ht="14.85" customHeight="1">
      <c r="B134" s="133"/>
      <c r="C134" s="119" t="str">
        <f>IF(C130="Ei","Sisesta hõivatud tubade arv aastas:","")</f>
        <v/>
      </c>
      <c r="D134" s="146"/>
    </row>
    <row r="135" spans="2:12" ht="14.85" customHeight="1">
      <c r="B135" s="133"/>
      <c r="C135" s="494"/>
      <c r="D135" s="148"/>
    </row>
    <row r="136" spans="2:12" ht="14.85" customHeight="1">
      <c r="B136" s="147"/>
      <c r="C136" s="150" t="str">
        <f>IF(C130="Ei","Hinnanguline pesu kaal (t)","")</f>
        <v/>
      </c>
      <c r="D136" s="116" t="s">
        <v>175</v>
      </c>
    </row>
    <row r="137" spans="2:12" ht="14.85" customHeight="1" thickBot="1">
      <c r="B137" s="147"/>
      <c r="C137" s="372" t="str">
        <f>IF(C130="Ei",$C$30*pesu_hõivatud_tuba/1000,"")</f>
        <v/>
      </c>
      <c r="D137" s="495" t="str">
        <f>IF(C130="Ei",C137*pesupesemisteenus,"")</f>
        <v/>
      </c>
      <c r="L137" s="64"/>
    </row>
    <row r="138" spans="2:12" ht="14.85" customHeight="1" thickBot="1">
      <c r="B138" s="131"/>
      <c r="C138" s="152" t="s">
        <v>176</v>
      </c>
      <c r="D138" s="525">
        <f>SUM(D126:D127,D132:D132,D137:D137)</f>
        <v>0</v>
      </c>
    </row>
    <row r="139" spans="2:12" ht="14.85" customHeight="1">
      <c r="C139" s="1"/>
      <c r="D139" s="1"/>
    </row>
    <row r="140" spans="2:12" ht="14.85" customHeight="1" thickBot="1">
      <c r="C140" s="1"/>
      <c r="D140" s="1"/>
    </row>
    <row r="141" spans="2:12" ht="27.75" thickBot="1">
      <c r="B141" s="106" t="s">
        <v>28</v>
      </c>
      <c r="C141" s="106" t="s">
        <v>52</v>
      </c>
      <c r="D141" s="137" t="s">
        <v>171</v>
      </c>
    </row>
    <row r="142" spans="2:12" ht="14.85" customHeight="1">
      <c r="B142" s="138">
        <f>ÜLDANDMED!J14</f>
        <v>2030</v>
      </c>
      <c r="C142" s="675" t="s">
        <v>172</v>
      </c>
      <c r="D142" s="676"/>
    </row>
    <row r="143" spans="2:12" ht="14.85" customHeight="1">
      <c r="B143" s="139"/>
      <c r="C143" s="140" t="s">
        <v>173</v>
      </c>
      <c r="D143" s="142"/>
    </row>
    <row r="144" spans="2:12" ht="14.85" customHeight="1">
      <c r="B144" s="139"/>
      <c r="C144" s="489"/>
      <c r="D144" s="490"/>
    </row>
    <row r="145" spans="2:12" ht="14.85" customHeight="1">
      <c r="B145" s="139"/>
      <c r="C145" s="150" t="str">
        <f>IF(C144="Jah","Sisesta pesu kaal (t):","")</f>
        <v/>
      </c>
      <c r="D145" s="490"/>
    </row>
    <row r="146" spans="2:12" ht="14.85" customHeight="1">
      <c r="B146" s="143"/>
      <c r="C146" s="441"/>
      <c r="D146" s="491"/>
    </row>
    <row r="147" spans="2:12" ht="14.85" customHeight="1">
      <c r="B147" s="143"/>
      <c r="C147" s="412" t="str">
        <f>IF(C144="Jah","Sisesta teenusepakkuja KHG eriheitetegur (t CO₂ ekv/t):","")</f>
        <v/>
      </c>
      <c r="D147" s="442" t="s">
        <v>174</v>
      </c>
    </row>
    <row r="148" spans="2:12" ht="14.85" customHeight="1" thickBot="1">
      <c r="B148" s="143"/>
      <c r="C148" s="456"/>
      <c r="D148" s="492">
        <f>_xlfn.IFNA(C146*C148,"")</f>
        <v>0</v>
      </c>
    </row>
    <row r="149" spans="2:12" ht="14.85" customHeight="1">
      <c r="B149" s="143"/>
      <c r="C149" s="673" t="str">
        <f>IF(C144="Ei","II variant. KHG heitkoguse arvutamine pesu kaalu ja keskmise KHG eriheiteteguri järgi","")</f>
        <v/>
      </c>
      <c r="D149" s="674"/>
    </row>
    <row r="150" spans="2:12" ht="14.85" customHeight="1">
      <c r="B150" s="143"/>
      <c r="C150" s="496" t="str">
        <f>IF(C144="Ei","Kas teil on teada pestud pesu kaal?","")</f>
        <v/>
      </c>
      <c r="D150" s="146"/>
    </row>
    <row r="151" spans="2:12" ht="14.85" customHeight="1">
      <c r="B151" s="143"/>
      <c r="C151" s="423"/>
      <c r="D151" s="493"/>
    </row>
    <row r="152" spans="2:12" ht="14.85" customHeight="1">
      <c r="B152" s="143"/>
      <c r="C152" s="149" t="str">
        <f>IF(C151="Jah","Sisesta pesu kaal (t)","")</f>
        <v/>
      </c>
      <c r="D152" s="116" t="s">
        <v>175</v>
      </c>
    </row>
    <row r="153" spans="2:12" ht="14.85" customHeight="1" thickBot="1">
      <c r="B153" s="143"/>
      <c r="C153" s="497"/>
      <c r="D153" s="371" t="str">
        <f>IF(C151="Jah",$C$153*pesupesemisteenus,"")</f>
        <v/>
      </c>
    </row>
    <row r="154" spans="2:12" ht="14.85" customHeight="1">
      <c r="B154" s="133"/>
      <c r="C154" s="677" t="str">
        <f>IF(C151="Ei","III variant. KHG heitkoguse arvutamine hinnangulise pesu kaalu ja keskmise KHG eriheiteteguri järgi","")</f>
        <v/>
      </c>
      <c r="D154" s="678"/>
    </row>
    <row r="155" spans="2:12" ht="14.85" customHeight="1">
      <c r="B155" s="133"/>
      <c r="C155" s="119" t="str">
        <f>IF(C151="Ei","Sisesta hõivatud tubade arv aastas:","")</f>
        <v/>
      </c>
      <c r="D155" s="146"/>
    </row>
    <row r="156" spans="2:12" ht="14.85" customHeight="1">
      <c r="B156" s="133"/>
      <c r="C156" s="494"/>
      <c r="D156" s="148"/>
    </row>
    <row r="157" spans="2:12" ht="14.85" customHeight="1">
      <c r="B157" s="147"/>
      <c r="C157" s="150" t="str">
        <f>IF(C151="Ei","Hinnanguline pesu kaal (t)","")</f>
        <v/>
      </c>
      <c r="D157" s="116" t="s">
        <v>175</v>
      </c>
    </row>
    <row r="158" spans="2:12" ht="14.85" customHeight="1" thickBot="1">
      <c r="B158" s="147"/>
      <c r="C158" s="372" t="str">
        <f>IF(C151="Ei",$C$30*pesu_hõivatud_tuba/1000,"")</f>
        <v/>
      </c>
      <c r="D158" s="495" t="str">
        <f>IF(C151="Ei",C158*pesupesemisteenus,"")</f>
        <v/>
      </c>
    </row>
    <row r="159" spans="2:12" ht="14.85" customHeight="1" thickBot="1">
      <c r="B159" s="131"/>
      <c r="C159" s="152" t="s">
        <v>176</v>
      </c>
      <c r="D159" s="525">
        <f>SUM(D147:D148,D153:D153,D158:D158)</f>
        <v>0</v>
      </c>
    </row>
    <row r="160" spans="2:12" ht="14.85" customHeight="1">
      <c r="C160" s="1"/>
      <c r="D160" s="1"/>
      <c r="L160" s="64"/>
    </row>
    <row r="161" s="1" customFormat="1" ht="14.85" customHeight="1"/>
    <row r="162" s="1" customFormat="1" ht="14.85" customHeight="1"/>
  </sheetData>
  <mergeCells count="24">
    <mergeCell ref="C107:D107"/>
    <mergeCell ref="C149:D149"/>
    <mergeCell ref="C154:D154"/>
    <mergeCell ref="C112:D112"/>
    <mergeCell ref="C121:D121"/>
    <mergeCell ref="C128:D128"/>
    <mergeCell ref="C133:D133"/>
    <mergeCell ref="C142:D142"/>
    <mergeCell ref="C70:D70"/>
    <mergeCell ref="C79:D79"/>
    <mergeCell ref="C86:D86"/>
    <mergeCell ref="C91:D91"/>
    <mergeCell ref="C100:D100"/>
    <mergeCell ref="C37:D37"/>
    <mergeCell ref="C44:D44"/>
    <mergeCell ref="C49:D49"/>
    <mergeCell ref="C58:D58"/>
    <mergeCell ref="C65:D65"/>
    <mergeCell ref="B4:O4"/>
    <mergeCell ref="B5:O5"/>
    <mergeCell ref="C23:D23"/>
    <mergeCell ref="C16:D16"/>
    <mergeCell ref="C28:D28"/>
    <mergeCell ref="B7:O7"/>
  </mergeCells>
  <conditionalFormatting sqref="C19:C22 D21:D22">
    <cfRule type="expression" dxfId="48" priority="54">
      <formula>$C$18="Ei"</formula>
    </cfRule>
  </conditionalFormatting>
  <conditionalFormatting sqref="C19:C32 D26:D27 D31:D32 D21:D22">
    <cfRule type="expression" dxfId="47" priority="49">
      <formula>$C$18=""</formula>
    </cfRule>
  </conditionalFormatting>
  <conditionalFormatting sqref="C20 C22">
    <cfRule type="expression" dxfId="46" priority="50">
      <formula>$C$18="Jah"</formula>
    </cfRule>
  </conditionalFormatting>
  <conditionalFormatting sqref="C23:C32 D26:D27 D31:D32">
    <cfRule type="expression" dxfId="45" priority="48">
      <formula>$C$18="Jah"</formula>
    </cfRule>
  </conditionalFormatting>
  <conditionalFormatting sqref="C28:C32 D31:D32">
    <cfRule type="expression" dxfId="44" priority="45">
      <formula>$C$25="Jah"</formula>
    </cfRule>
  </conditionalFormatting>
  <conditionalFormatting sqref="C40:C43 D42:D43">
    <cfRule type="expression" dxfId="43" priority="42">
      <formula>$C$39="Ei"</formula>
    </cfRule>
  </conditionalFormatting>
  <conditionalFormatting sqref="C40:C53 D47:D48 D52:D53 D42:D43">
    <cfRule type="expression" dxfId="42" priority="40">
      <formula>$C$39=""</formula>
    </cfRule>
  </conditionalFormatting>
  <conditionalFormatting sqref="C41 C43">
    <cfRule type="expression" dxfId="41" priority="41">
      <formula>$C$39="Jah"</formula>
    </cfRule>
  </conditionalFormatting>
  <conditionalFormatting sqref="C44:C53 D47:D48 D52:D53">
    <cfRule type="expression" dxfId="40" priority="39">
      <formula>$C$39="Jah"</formula>
    </cfRule>
  </conditionalFormatting>
  <conditionalFormatting sqref="C49:C53 D52:D53">
    <cfRule type="expression" dxfId="39" priority="36">
      <formula>$C$46="Jah"</formula>
    </cfRule>
  </conditionalFormatting>
  <conditionalFormatting sqref="C61:C64 D63:D64">
    <cfRule type="expression" dxfId="38" priority="35">
      <formula>$C$60="Ei"</formula>
    </cfRule>
  </conditionalFormatting>
  <conditionalFormatting sqref="C61:C74 D68:D69 D73:D74 D63:D64">
    <cfRule type="expression" dxfId="37" priority="33">
      <formula>$C$60=""</formula>
    </cfRule>
  </conditionalFormatting>
  <conditionalFormatting sqref="C62 C64">
    <cfRule type="expression" dxfId="36" priority="34">
      <formula>$C$18="Jah"</formula>
    </cfRule>
  </conditionalFormatting>
  <conditionalFormatting sqref="C65:C74 D68:D69 D73:D74">
    <cfRule type="expression" dxfId="35" priority="32">
      <formula>$C$60="Jah"</formula>
    </cfRule>
  </conditionalFormatting>
  <conditionalFormatting sqref="C70:C74 D73:D74">
    <cfRule type="expression" dxfId="34" priority="29">
      <formula>$C$67="Jah"</formula>
    </cfRule>
  </conditionalFormatting>
  <conditionalFormatting sqref="C82:C85 D84:D85">
    <cfRule type="expression" dxfId="33" priority="28">
      <formula>$C$81="Ei"</formula>
    </cfRule>
  </conditionalFormatting>
  <conditionalFormatting sqref="C82:C95 D89:D90 D94:D95 D84:D85">
    <cfRule type="expression" dxfId="32" priority="26">
      <formula>$C$81=""</formula>
    </cfRule>
  </conditionalFormatting>
  <conditionalFormatting sqref="C83 C85">
    <cfRule type="expression" dxfId="31" priority="27">
      <formula>$C$18="Jah"</formula>
    </cfRule>
  </conditionalFormatting>
  <conditionalFormatting sqref="C86:C95 D89:D90 D94:D95">
    <cfRule type="expression" dxfId="30" priority="25">
      <formula>$C$81="Jah"</formula>
    </cfRule>
  </conditionalFormatting>
  <conditionalFormatting sqref="C91:C95 D94:D95">
    <cfRule type="expression" dxfId="29" priority="22">
      <formula>$C$88="Jah"</formula>
    </cfRule>
  </conditionalFormatting>
  <conditionalFormatting sqref="C103:C106 D105:D106">
    <cfRule type="expression" dxfId="28" priority="21">
      <formula>$C$102="Ei"</formula>
    </cfRule>
  </conditionalFormatting>
  <conditionalFormatting sqref="C103:C116 D110:D111 D115:D116 D105:D106">
    <cfRule type="expression" dxfId="27" priority="19">
      <formula>$C$102=""</formula>
    </cfRule>
  </conditionalFormatting>
  <conditionalFormatting sqref="C104 C106">
    <cfRule type="expression" dxfId="26" priority="20">
      <formula>$C$18="Jah"</formula>
    </cfRule>
  </conditionalFormatting>
  <conditionalFormatting sqref="C107:C116 D110:D111 D115:D116">
    <cfRule type="expression" dxfId="25" priority="18">
      <formula>$C$102="Jah"</formula>
    </cfRule>
  </conditionalFormatting>
  <conditionalFormatting sqref="C112:C116 D115:D116">
    <cfRule type="expression" dxfId="24" priority="15">
      <formula>$C$109="Jah"</formula>
    </cfRule>
  </conditionalFormatting>
  <conditionalFormatting sqref="C124:C127 D126:D127">
    <cfRule type="expression" dxfId="23" priority="14">
      <formula>$C$123="Ei"</formula>
    </cfRule>
  </conditionalFormatting>
  <conditionalFormatting sqref="C124:C137 D131:D132 D136:D137 D126:D127">
    <cfRule type="expression" dxfId="22" priority="12">
      <formula>$C$123=""</formula>
    </cfRule>
  </conditionalFormatting>
  <conditionalFormatting sqref="C125 C127">
    <cfRule type="expression" dxfId="21" priority="13">
      <formula>$C$18="Jah"</formula>
    </cfRule>
  </conditionalFormatting>
  <conditionalFormatting sqref="C128:C137 D131:D132 D136:D137">
    <cfRule type="expression" dxfId="20" priority="11">
      <formula>$C$123="Jah"</formula>
    </cfRule>
  </conditionalFormatting>
  <conditionalFormatting sqref="C133:C137 D136:D137">
    <cfRule type="expression" dxfId="19" priority="8">
      <formula>$C$130="Jah"</formula>
    </cfRule>
  </conditionalFormatting>
  <conditionalFormatting sqref="C145:C148 D147:D148">
    <cfRule type="expression" dxfId="18" priority="7">
      <formula>$C$144="Ei"</formula>
    </cfRule>
  </conditionalFormatting>
  <conditionalFormatting sqref="C145:C158 D152:D153 D157:D158 D147:D148">
    <cfRule type="expression" dxfId="17" priority="5">
      <formula>$C$144=""</formula>
    </cfRule>
  </conditionalFormatting>
  <conditionalFormatting sqref="C146 C148">
    <cfRule type="expression" dxfId="16" priority="6">
      <formula>$C$144="Jah"</formula>
    </cfRule>
  </conditionalFormatting>
  <conditionalFormatting sqref="C149:C158 D152:D153 D157:D158">
    <cfRule type="expression" dxfId="15" priority="4">
      <formula>$C$144="Jah"</formula>
    </cfRule>
  </conditionalFormatting>
  <conditionalFormatting sqref="C154:C158 D157:D158">
    <cfRule type="expression" dxfId="14" priority="1">
      <formula>$C$151="Jah"</formula>
    </cfRule>
  </conditionalFormatting>
  <conditionalFormatting sqref="C26:D27">
    <cfRule type="expression" dxfId="13" priority="47">
      <formula>$C$25="Ei"</formula>
    </cfRule>
  </conditionalFormatting>
  <conditionalFormatting sqref="C47:D48">
    <cfRule type="expression" dxfId="12" priority="38">
      <formula>$C$46="Ei"</formula>
    </cfRule>
  </conditionalFormatting>
  <conditionalFormatting sqref="C68:D69">
    <cfRule type="expression" dxfId="11" priority="31">
      <formula>$C$67="Ei"</formula>
    </cfRule>
  </conditionalFormatting>
  <conditionalFormatting sqref="C89:D90">
    <cfRule type="expression" dxfId="10" priority="24">
      <formula>$C$88="Ei"</formula>
    </cfRule>
  </conditionalFormatting>
  <conditionalFormatting sqref="C110:D111">
    <cfRule type="expression" dxfId="9" priority="17">
      <formula>$C$109="Ei"</formula>
    </cfRule>
  </conditionalFormatting>
  <conditionalFormatting sqref="C131:D132">
    <cfRule type="expression" dxfId="8" priority="10">
      <formula>$C$130="Ei"</formula>
    </cfRule>
  </conditionalFormatting>
  <conditionalFormatting sqref="C152:D153">
    <cfRule type="expression" dxfId="7" priority="3">
      <formula>$C$151="Ei"</formula>
    </cfRule>
  </conditionalFormatting>
  <conditionalFormatting sqref="D26:D27 C26:C32 D31:D32">
    <cfRule type="expression" dxfId="6" priority="46">
      <formula>$C$25=""</formula>
    </cfRule>
  </conditionalFormatting>
  <conditionalFormatting sqref="D47:D48 C47:C53 D52:D53">
    <cfRule type="expression" dxfId="5" priority="37">
      <formula>$C$46=""</formula>
    </cfRule>
  </conditionalFormatting>
  <conditionalFormatting sqref="D68:D69 C68:C74 D73:D74">
    <cfRule type="expression" dxfId="4" priority="30">
      <formula>$C$67=""</formula>
    </cfRule>
  </conditionalFormatting>
  <conditionalFormatting sqref="D89:D90 C89:C95 D94:D95">
    <cfRule type="expression" dxfId="3" priority="23">
      <formula>$C$88=""</formula>
    </cfRule>
  </conditionalFormatting>
  <conditionalFormatting sqref="D110:D111 C110:C116 D115:D116">
    <cfRule type="expression" dxfId="2" priority="16">
      <formula>$C$109=""</formula>
    </cfRule>
  </conditionalFormatting>
  <conditionalFormatting sqref="D131:D132 C131:C137 D136:D137">
    <cfRule type="expression" dxfId="1" priority="9">
      <formula>$C$130=""</formula>
    </cfRule>
  </conditionalFormatting>
  <conditionalFormatting sqref="D152:D153 C152:C158 D157:D158">
    <cfRule type="expression" dxfId="0" priority="2">
      <formula>$C$151=""</formula>
    </cfRule>
  </conditionalFormatting>
  <pageMargins left="0.70866141732283472" right="0.70866141732283472" top="0.74803149606299213" bottom="0.74803149606299213" header="0.31496062992125984" footer="0.31496062992125984"/>
  <pageSetup scale="78"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B9158E6B-C2DA-410F-9ECF-A81A279653EA}">
          <x14:formula1>
            <xm:f>'KHG eriheitetegurid'!$B$391:$B$392</xm:f>
          </x14:formula1>
          <xm:sqref>C18 C25 C39 C46 C60 C67 C81 C88 C102 C109 C123 C130 C144 C151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4ED50-2E17-4251-B6CD-F601055534DB}">
  <sheetPr>
    <tabColor rgb="FFF4B084"/>
    <pageSetUpPr fitToPage="1"/>
  </sheetPr>
  <dimension ref="B2:O170"/>
  <sheetViews>
    <sheetView showGridLines="0" zoomScaleNormal="100" workbookViewId="0">
      <pane xSplit="1" ySplit="2" topLeftCell="B3" activePane="bottomRight" state="frozen"/>
      <selection pane="bottomRight" activeCell="I28" sqref="I28"/>
      <selection pane="bottomLeft" activeCell="A3" sqref="A3"/>
      <selection pane="topRight" activeCell="B1" sqref="B1"/>
    </sheetView>
  </sheetViews>
  <sheetFormatPr defaultColWidth="9.140625" defaultRowHeight="14.85" customHeight="1"/>
  <cols>
    <col min="1" max="1" width="2.5703125" style="1" customWidth="1"/>
    <col min="2" max="2" width="7.5703125" style="1" customWidth="1"/>
    <col min="3" max="3" width="40.42578125" style="4" customWidth="1"/>
    <col min="4" max="4" width="15.5703125" style="97" customWidth="1"/>
    <col min="5" max="5" width="15.5703125" style="62" customWidth="1"/>
    <col min="6" max="6" width="15.5703125" style="97" customWidth="1"/>
    <col min="7" max="16384" width="9.140625" style="1"/>
  </cols>
  <sheetData>
    <row r="2" spans="2:15" ht="18.600000000000001" customHeight="1">
      <c r="B2" s="94" t="s">
        <v>177</v>
      </c>
      <c r="C2" s="134"/>
    </row>
    <row r="3" spans="2:15" ht="31.5" customHeight="1">
      <c r="B3" s="642" t="s">
        <v>178</v>
      </c>
      <c r="C3" s="642"/>
      <c r="D3" s="642"/>
      <c r="E3" s="642"/>
      <c r="F3" s="642"/>
      <c r="G3" s="642"/>
      <c r="H3" s="642"/>
      <c r="I3" s="642"/>
      <c r="J3" s="642"/>
      <c r="K3" s="642"/>
      <c r="L3" s="642"/>
      <c r="M3" s="642"/>
      <c r="N3" s="642"/>
      <c r="O3" s="642"/>
    </row>
    <row r="4" spans="2:15" ht="15">
      <c r="B4" s="578" t="s">
        <v>179</v>
      </c>
      <c r="C4" s="569"/>
      <c r="D4" s="569"/>
      <c r="E4" s="569"/>
      <c r="F4" s="569"/>
    </row>
    <row r="5" spans="2:15" ht="45" customHeight="1">
      <c r="B5" s="642" t="s">
        <v>180</v>
      </c>
      <c r="C5" s="642"/>
      <c r="D5" s="642"/>
      <c r="E5" s="642"/>
      <c r="F5" s="642"/>
      <c r="G5" s="642"/>
      <c r="H5" s="642"/>
      <c r="I5" s="642"/>
      <c r="J5" s="642"/>
      <c r="K5" s="642"/>
      <c r="L5" s="642"/>
      <c r="M5" s="642"/>
      <c r="N5" s="642"/>
      <c r="O5" s="642"/>
    </row>
    <row r="6" spans="2:15" ht="32.25" customHeight="1">
      <c r="B6" s="632" t="s">
        <v>181</v>
      </c>
      <c r="C6" s="632"/>
      <c r="D6" s="632"/>
      <c r="E6" s="632"/>
      <c r="F6" s="632"/>
      <c r="G6" s="632"/>
      <c r="H6" s="632"/>
      <c r="I6" s="632"/>
      <c r="J6" s="632"/>
      <c r="K6" s="632"/>
      <c r="L6" s="632"/>
      <c r="M6" s="632"/>
      <c r="N6" s="632"/>
      <c r="O6" s="632"/>
    </row>
    <row r="8" spans="2:15" ht="14.85" customHeight="1">
      <c r="B8" s="99" t="s">
        <v>15</v>
      </c>
      <c r="C8" s="100"/>
    </row>
    <row r="9" spans="2:15" ht="14.85" customHeight="1">
      <c r="C9" s="606" t="s">
        <v>16</v>
      </c>
      <c r="D9" s="1"/>
      <c r="E9" s="4"/>
      <c r="F9" s="1"/>
      <c r="G9" s="97"/>
      <c r="H9" s="4"/>
      <c r="J9" s="4"/>
      <c r="K9" s="62"/>
    </row>
    <row r="10" spans="2:15" ht="14.85" customHeight="1">
      <c r="C10" s="557" t="s">
        <v>17</v>
      </c>
      <c r="D10" s="1"/>
      <c r="E10" s="4"/>
      <c r="F10" s="1"/>
      <c r="G10" s="4"/>
      <c r="I10" s="4"/>
      <c r="J10" s="62"/>
    </row>
    <row r="11" spans="2:15" ht="14.85" customHeight="1" thickBot="1"/>
    <row r="12" spans="2:15" ht="14.85" customHeight="1">
      <c r="B12" s="653" t="s">
        <v>28</v>
      </c>
      <c r="C12" s="653" t="s">
        <v>52</v>
      </c>
      <c r="D12" s="661" t="s">
        <v>182</v>
      </c>
      <c r="E12" s="669" t="s">
        <v>183</v>
      </c>
      <c r="F12" s="661" t="s">
        <v>184</v>
      </c>
    </row>
    <row r="13" spans="2:15" ht="14.85" customHeight="1">
      <c r="B13" s="665"/>
      <c r="C13" s="665"/>
      <c r="D13" s="681"/>
      <c r="E13" s="670"/>
      <c r="F13" s="681"/>
    </row>
    <row r="14" spans="2:15" ht="14.85" customHeight="1" thickBot="1">
      <c r="B14" s="654"/>
      <c r="C14" s="654"/>
      <c r="D14" s="662"/>
      <c r="E14" s="671"/>
      <c r="F14" s="662"/>
    </row>
    <row r="15" spans="2:15" ht="14.85" customHeight="1">
      <c r="B15" s="224">
        <f>ÜLDANDMED!D14</f>
        <v>2024</v>
      </c>
      <c r="C15" s="548" t="s">
        <v>185</v>
      </c>
      <c r="D15" s="561" t="s">
        <v>186</v>
      </c>
      <c r="E15" s="106" t="s">
        <v>187</v>
      </c>
      <c r="F15" s="549" t="s">
        <v>187</v>
      </c>
    </row>
    <row r="16" spans="2:15" ht="14.85" customHeight="1">
      <c r="B16" s="129"/>
      <c r="C16" s="550" t="s">
        <v>188</v>
      </c>
      <c r="D16" s="562"/>
      <c r="E16" s="563">
        <f>D16*sõiduauto_bensiin_2024/1000</f>
        <v>0</v>
      </c>
      <c r="F16" s="558"/>
    </row>
    <row r="17" spans="2:14" ht="14.85" customHeight="1">
      <c r="B17" s="129"/>
      <c r="C17" s="550" t="s">
        <v>189</v>
      </c>
      <c r="D17" s="562"/>
      <c r="E17" s="563">
        <f>D17*sõiduauto_diisel_2024/1000</f>
        <v>0</v>
      </c>
      <c r="F17" s="558"/>
    </row>
    <row r="18" spans="2:14" ht="14.85" customHeight="1">
      <c r="B18" s="129"/>
      <c r="C18" s="550" t="s">
        <v>190</v>
      </c>
      <c r="D18" s="562"/>
      <c r="E18" s="563">
        <f>D18*sõiduauto_bioCNG_2024/1000</f>
        <v>0</v>
      </c>
      <c r="F18" s="558"/>
    </row>
    <row r="19" spans="2:14" ht="14.85" customHeight="1">
      <c r="B19" s="129"/>
      <c r="C19" s="550" t="s">
        <v>191</v>
      </c>
      <c r="D19" s="562"/>
      <c r="E19" s="563">
        <f>D19*sõiduauto_CNG_2024/1000</f>
        <v>0</v>
      </c>
      <c r="F19" s="558"/>
    </row>
    <row r="20" spans="2:14" ht="14.85" customHeight="1">
      <c r="B20" s="129"/>
      <c r="C20" s="173" t="s">
        <v>192</v>
      </c>
      <c r="D20" s="562"/>
      <c r="E20" s="563">
        <f>D20*sõiduauto_hübriid_2024/1000</f>
        <v>0</v>
      </c>
      <c r="F20" s="558"/>
    </row>
    <row r="21" spans="2:14" ht="14.85" customHeight="1">
      <c r="B21" s="129"/>
      <c r="C21" s="550" t="s">
        <v>193</v>
      </c>
      <c r="D21" s="562"/>
      <c r="E21" s="563">
        <f>D21*sõiduauto_taastuvelekter/1000</f>
        <v>0</v>
      </c>
      <c r="F21" s="558"/>
    </row>
    <row r="22" spans="2:14" ht="14.85" customHeight="1">
      <c r="B22" s="129"/>
      <c r="C22" s="550" t="s">
        <v>194</v>
      </c>
      <c r="D22" s="562"/>
      <c r="E22" s="563">
        <f>D22*sõiduauto_tavaelekter_2024/1000</f>
        <v>0</v>
      </c>
      <c r="F22" s="558"/>
    </row>
    <row r="23" spans="2:14" ht="14.85" customHeight="1" thickBot="1">
      <c r="B23" s="117"/>
      <c r="C23" s="551" t="s">
        <v>195</v>
      </c>
      <c r="D23" s="562"/>
      <c r="E23" s="563">
        <f>D23*sõiduk_takso_2024/1000</f>
        <v>0</v>
      </c>
      <c r="F23" s="558"/>
    </row>
    <row r="24" spans="2:14" ht="14.85" customHeight="1">
      <c r="B24" s="117"/>
      <c r="C24" s="552" t="s">
        <v>196</v>
      </c>
      <c r="D24" s="561" t="s">
        <v>197</v>
      </c>
      <c r="E24" s="106" t="s">
        <v>187</v>
      </c>
      <c r="F24" s="553" t="s">
        <v>187</v>
      </c>
    </row>
    <row r="25" spans="2:14" ht="14.85" customHeight="1">
      <c r="B25" s="117"/>
      <c r="C25" s="551" t="s">
        <v>198</v>
      </c>
      <c r="D25" s="562"/>
      <c r="E25" s="563">
        <f>D25*sõiduk_buss_kaugliin_2024/1000</f>
        <v>0</v>
      </c>
      <c r="F25" s="558"/>
    </row>
    <row r="26" spans="2:14" ht="14.85" customHeight="1">
      <c r="B26" s="117"/>
      <c r="C26" s="551" t="s">
        <v>199</v>
      </c>
      <c r="D26" s="562"/>
      <c r="E26" s="563">
        <f>D26*sõiduk_buss_linnaliin_Tallinn_2024/1000</f>
        <v>0</v>
      </c>
      <c r="F26" s="558"/>
    </row>
    <row r="27" spans="2:14" ht="14.85" customHeight="1">
      <c r="B27" s="117"/>
      <c r="C27" s="551" t="s">
        <v>200</v>
      </c>
      <c r="D27" s="562"/>
      <c r="E27" s="563">
        <f>D27*sõiduk_buss_linnaliin_Eesti_2024/1000</f>
        <v>0</v>
      </c>
      <c r="F27" s="558"/>
    </row>
    <row r="28" spans="2:14" ht="14.85" customHeight="1">
      <c r="B28" s="117"/>
      <c r="C28" s="551" t="s">
        <v>201</v>
      </c>
      <c r="D28" s="562"/>
      <c r="E28" s="563" cm="1">
        <f t="array" ref="E28">D28*sõiduk_diiselrong_2024/1000</f>
        <v>0</v>
      </c>
      <c r="F28" s="558"/>
    </row>
    <row r="29" spans="2:14" ht="14.85" customHeight="1">
      <c r="B29" s="117"/>
      <c r="C29" s="551" t="s">
        <v>202</v>
      </c>
      <c r="D29" s="562"/>
      <c r="E29" s="563" cm="1">
        <f t="array" ref="E29">D29*sõiduk_elektrirong/1000</f>
        <v>0</v>
      </c>
      <c r="F29" s="558"/>
    </row>
    <row r="30" spans="2:14" ht="14.85" customHeight="1">
      <c r="B30" s="117"/>
      <c r="C30" s="550" t="s">
        <v>203</v>
      </c>
      <c r="D30" s="562"/>
      <c r="E30" s="563" cm="1">
        <f t="array" ref="E30">D30*sõiduk_laev_2024/1000</f>
        <v>0</v>
      </c>
      <c r="F30" s="558"/>
      <c r="N30" s="64"/>
    </row>
    <row r="31" spans="2:14" ht="14.85" customHeight="1" thickBot="1">
      <c r="B31" s="117"/>
      <c r="C31" s="550" t="s">
        <v>204</v>
      </c>
      <c r="D31" s="562"/>
      <c r="E31" s="564" cm="1">
        <f t="array" ref="E31">D31*sõiduk_lennuk_2024/1000</f>
        <v>0</v>
      </c>
      <c r="F31" s="559"/>
    </row>
    <row r="32" spans="2:14" ht="14.85" customHeight="1" thickBot="1">
      <c r="B32" s="555"/>
      <c r="C32" s="165" t="s">
        <v>205</v>
      </c>
      <c r="D32" s="560"/>
      <c r="E32" s="679">
        <f>SUM(E16:E23,E25:E31,F16:F23,F25:F31)</f>
        <v>0</v>
      </c>
      <c r="F32" s="680"/>
    </row>
    <row r="33" spans="2:6" ht="14.85" customHeight="1">
      <c r="C33" s="1"/>
      <c r="D33" s="1"/>
      <c r="E33" s="1"/>
      <c r="F33" s="1"/>
    </row>
    <row r="34" spans="2:6" ht="14.85" customHeight="1" thickBot="1">
      <c r="C34" s="1"/>
      <c r="D34" s="1"/>
      <c r="E34" s="1"/>
      <c r="F34" s="1"/>
    </row>
    <row r="35" spans="2:6" ht="14.85" customHeight="1">
      <c r="B35" s="653" t="s">
        <v>28</v>
      </c>
      <c r="C35" s="653" t="s">
        <v>52</v>
      </c>
      <c r="D35" s="661" t="s">
        <v>182</v>
      </c>
      <c r="E35" s="669" t="s">
        <v>183</v>
      </c>
      <c r="F35" s="661" t="s">
        <v>184</v>
      </c>
    </row>
    <row r="36" spans="2:6" ht="14.85" customHeight="1">
      <c r="B36" s="665"/>
      <c r="C36" s="665"/>
      <c r="D36" s="681"/>
      <c r="E36" s="670"/>
      <c r="F36" s="681"/>
    </row>
    <row r="37" spans="2:6" ht="14.85" customHeight="1" thickBot="1">
      <c r="B37" s="654"/>
      <c r="C37" s="654"/>
      <c r="D37" s="662"/>
      <c r="E37" s="671"/>
      <c r="F37" s="662"/>
    </row>
    <row r="38" spans="2:6" ht="14.85" customHeight="1">
      <c r="B38" s="224">
        <f>ÜLDANDMED!E14</f>
        <v>2025</v>
      </c>
      <c r="C38" s="168" t="s">
        <v>185</v>
      </c>
      <c r="D38" s="561" t="s">
        <v>186</v>
      </c>
      <c r="E38" s="113" t="s">
        <v>187</v>
      </c>
      <c r="F38" s="549" t="s">
        <v>187</v>
      </c>
    </row>
    <row r="39" spans="2:6" ht="14.85" customHeight="1">
      <c r="B39" s="129"/>
      <c r="C39" s="173" t="s">
        <v>188</v>
      </c>
      <c r="D39" s="562"/>
      <c r="E39" s="563">
        <f>D39*sõiduauto_bensiin_2025/1000</f>
        <v>0</v>
      </c>
      <c r="F39" s="558"/>
    </row>
    <row r="40" spans="2:6" ht="14.85" customHeight="1">
      <c r="B40" s="129"/>
      <c r="C40" s="173" t="s">
        <v>189</v>
      </c>
      <c r="D40" s="562"/>
      <c r="E40" s="563">
        <f>D40*sõiduauto_diisel_2025/1000</f>
        <v>0</v>
      </c>
      <c r="F40" s="558"/>
    </row>
    <row r="41" spans="2:6" ht="14.85" customHeight="1">
      <c r="B41" s="129"/>
      <c r="C41" s="550" t="s">
        <v>190</v>
      </c>
      <c r="D41" s="562"/>
      <c r="E41" s="563">
        <f>D41*sõiduauto_bioCNG_2025/1000</f>
        <v>0</v>
      </c>
      <c r="F41" s="558"/>
    </row>
    <row r="42" spans="2:6" ht="14.85" customHeight="1">
      <c r="B42" s="129"/>
      <c r="C42" s="550" t="s">
        <v>191</v>
      </c>
      <c r="D42" s="562"/>
      <c r="E42" s="563">
        <f>D42*sõiduauto_CNG_2025/1000</f>
        <v>0</v>
      </c>
      <c r="F42" s="558"/>
    </row>
    <row r="43" spans="2:6" ht="14.85" customHeight="1">
      <c r="B43" s="129"/>
      <c r="C43" s="173" t="s">
        <v>192</v>
      </c>
      <c r="D43" s="562"/>
      <c r="E43" s="563">
        <f>D43*sõiduauto_hübriid_2025/1000</f>
        <v>0</v>
      </c>
      <c r="F43" s="558"/>
    </row>
    <row r="44" spans="2:6" ht="14.85" customHeight="1">
      <c r="B44" s="129"/>
      <c r="C44" s="173" t="s">
        <v>193</v>
      </c>
      <c r="D44" s="562"/>
      <c r="E44" s="563">
        <f>D44*sõiduauto_taastuvelekter/1000</f>
        <v>0</v>
      </c>
      <c r="F44" s="558"/>
    </row>
    <row r="45" spans="2:6" ht="14.85" customHeight="1">
      <c r="B45" s="129"/>
      <c r="C45" s="173" t="s">
        <v>194</v>
      </c>
      <c r="D45" s="562"/>
      <c r="E45" s="563">
        <f>D45*sõiduauto_tavaelekter_2025/1000</f>
        <v>0</v>
      </c>
      <c r="F45" s="558"/>
    </row>
    <row r="46" spans="2:6" ht="14.85" customHeight="1" thickBot="1">
      <c r="B46" s="117"/>
      <c r="C46" s="116" t="s">
        <v>195</v>
      </c>
      <c r="D46" s="562"/>
      <c r="E46" s="563">
        <f>D46*sõiduk_takso_2025/1000</f>
        <v>0</v>
      </c>
      <c r="F46" s="559"/>
    </row>
    <row r="47" spans="2:6" ht="14.85" customHeight="1">
      <c r="B47" s="117"/>
      <c r="C47" s="113" t="s">
        <v>196</v>
      </c>
      <c r="D47" s="561" t="s">
        <v>197</v>
      </c>
      <c r="E47" s="113" t="s">
        <v>187</v>
      </c>
      <c r="F47" s="113" t="s">
        <v>187</v>
      </c>
    </row>
    <row r="48" spans="2:6" ht="14.85" customHeight="1">
      <c r="B48" s="117"/>
      <c r="C48" s="116" t="s">
        <v>198</v>
      </c>
      <c r="D48" s="562"/>
      <c r="E48" s="563">
        <f>D48*sõiduk_buss_kaugliin_2025/1000</f>
        <v>0</v>
      </c>
      <c r="F48" s="558"/>
    </row>
    <row r="49" spans="2:14" ht="14.85" customHeight="1">
      <c r="B49" s="117"/>
      <c r="C49" s="554" t="s">
        <v>199</v>
      </c>
      <c r="D49" s="562"/>
      <c r="E49" s="563">
        <f>D49*sõiduk_buss_linnaliin_Tallinn_2025/1000</f>
        <v>0</v>
      </c>
      <c r="F49" s="558"/>
    </row>
    <row r="50" spans="2:14" ht="14.85" customHeight="1">
      <c r="B50" s="117"/>
      <c r="C50" s="554" t="s">
        <v>200</v>
      </c>
      <c r="D50" s="562"/>
      <c r="E50" s="563">
        <f>D50*sõiduk_buss_linnaliin_Eesti_2025/1000</f>
        <v>0</v>
      </c>
      <c r="F50" s="558"/>
    </row>
    <row r="51" spans="2:14" ht="14.85" customHeight="1">
      <c r="B51" s="117"/>
      <c r="C51" s="116" t="s">
        <v>201</v>
      </c>
      <c r="D51" s="562"/>
      <c r="E51" s="563" cm="1">
        <f t="array" ref="E51">D51*sõiduk_diiselrong_2025/1000</f>
        <v>0</v>
      </c>
      <c r="F51" s="558"/>
    </row>
    <row r="52" spans="2:14" ht="14.85" customHeight="1">
      <c r="B52" s="117"/>
      <c r="C52" s="116" t="s">
        <v>202</v>
      </c>
      <c r="D52" s="562"/>
      <c r="E52" s="563" cm="1">
        <f t="array" ref="E52">D52*sõiduk_elektrirong/1000</f>
        <v>0</v>
      </c>
      <c r="F52" s="558"/>
    </row>
    <row r="53" spans="2:14" ht="14.85" customHeight="1">
      <c r="B53" s="117"/>
      <c r="C53" s="556" t="s">
        <v>203</v>
      </c>
      <c r="D53" s="562"/>
      <c r="E53" s="563" cm="1">
        <f t="array" ref="E53">D53*sõiduk_laev_2025/1000</f>
        <v>0</v>
      </c>
      <c r="F53" s="558"/>
      <c r="N53" s="64"/>
    </row>
    <row r="54" spans="2:14" ht="14.85" customHeight="1" thickBot="1">
      <c r="B54" s="117"/>
      <c r="C54" s="173" t="s">
        <v>204</v>
      </c>
      <c r="D54" s="562"/>
      <c r="E54" s="564" cm="1">
        <f t="array" ref="E54">D54*sõiduk_lennuk_2025/1000</f>
        <v>0</v>
      </c>
      <c r="F54" s="558"/>
    </row>
    <row r="55" spans="2:14" ht="14.85" customHeight="1" thickBot="1">
      <c r="B55" s="555"/>
      <c r="C55" s="165" t="s">
        <v>205</v>
      </c>
      <c r="D55" s="560"/>
      <c r="E55" s="679">
        <f>SUM(E39:E46,E48:E54,F39:F46,F48:F54)</f>
        <v>0</v>
      </c>
      <c r="F55" s="680"/>
    </row>
    <row r="56" spans="2:14" ht="14.85" customHeight="1">
      <c r="C56" s="1"/>
      <c r="D56" s="1"/>
      <c r="E56" s="1"/>
      <c r="F56" s="1"/>
    </row>
    <row r="57" spans="2:14" ht="14.85" customHeight="1" thickBot="1">
      <c r="C57" s="1"/>
      <c r="D57" s="1"/>
      <c r="E57" s="1"/>
      <c r="F57" s="1"/>
    </row>
    <row r="58" spans="2:14" ht="14.85" customHeight="1">
      <c r="B58" s="653" t="s">
        <v>28</v>
      </c>
      <c r="C58" s="653" t="s">
        <v>52</v>
      </c>
      <c r="D58" s="661" t="s">
        <v>182</v>
      </c>
      <c r="E58" s="669" t="s">
        <v>183</v>
      </c>
      <c r="F58" s="661" t="s">
        <v>184</v>
      </c>
    </row>
    <row r="59" spans="2:14" ht="14.85" customHeight="1">
      <c r="B59" s="665"/>
      <c r="C59" s="665"/>
      <c r="D59" s="681"/>
      <c r="E59" s="670"/>
      <c r="F59" s="681"/>
    </row>
    <row r="60" spans="2:14" ht="14.85" customHeight="1" thickBot="1">
      <c r="B60" s="654"/>
      <c r="C60" s="654"/>
      <c r="D60" s="662"/>
      <c r="E60" s="671"/>
      <c r="F60" s="662"/>
    </row>
    <row r="61" spans="2:14" ht="14.85" customHeight="1">
      <c r="B61" s="224">
        <f>ÜLDANDMED!F14</f>
        <v>2026</v>
      </c>
      <c r="C61" s="168" t="s">
        <v>185</v>
      </c>
      <c r="D61" s="561" t="s">
        <v>186</v>
      </c>
      <c r="E61" s="113" t="s">
        <v>187</v>
      </c>
      <c r="F61" s="549" t="s">
        <v>187</v>
      </c>
    </row>
    <row r="62" spans="2:14" ht="14.85" customHeight="1">
      <c r="B62" s="129"/>
      <c r="C62" s="173" t="s">
        <v>188</v>
      </c>
      <c r="D62" s="562"/>
      <c r="E62" s="563">
        <f>D62*sõiduauto_bensiin_2026/1000</f>
        <v>0</v>
      </c>
      <c r="F62" s="558"/>
    </row>
    <row r="63" spans="2:14" ht="14.85" customHeight="1">
      <c r="B63" s="129"/>
      <c r="C63" s="173" t="s">
        <v>189</v>
      </c>
      <c r="D63" s="562"/>
      <c r="E63" s="563">
        <f>D63*sõiduauto_diisel_2026/1000</f>
        <v>0</v>
      </c>
      <c r="F63" s="558"/>
    </row>
    <row r="64" spans="2:14" ht="14.85" customHeight="1">
      <c r="B64" s="129"/>
      <c r="C64" s="550" t="s">
        <v>190</v>
      </c>
      <c r="D64" s="562"/>
      <c r="E64" s="563">
        <f>D64*sõiduauto_bioCNG_2026/1000</f>
        <v>0</v>
      </c>
      <c r="F64" s="558"/>
    </row>
    <row r="65" spans="2:14" ht="14.85" customHeight="1">
      <c r="B65" s="129"/>
      <c r="C65" s="550" t="s">
        <v>191</v>
      </c>
      <c r="D65" s="562"/>
      <c r="E65" s="563">
        <f>D65*sõiduauto_CNG_2026/1000</f>
        <v>0</v>
      </c>
      <c r="F65" s="558"/>
    </row>
    <row r="66" spans="2:14" ht="14.85" customHeight="1">
      <c r="B66" s="129"/>
      <c r="C66" s="173" t="s">
        <v>192</v>
      </c>
      <c r="D66" s="562"/>
      <c r="E66" s="563">
        <f>D66*sõiduauto_hübriid_2026/1000</f>
        <v>0</v>
      </c>
      <c r="F66" s="558"/>
    </row>
    <row r="67" spans="2:14" ht="14.85" customHeight="1">
      <c r="B67" s="129"/>
      <c r="C67" s="173" t="s">
        <v>193</v>
      </c>
      <c r="D67" s="562"/>
      <c r="E67" s="563">
        <f>D67*sõiduauto_taastuvelekter/1000</f>
        <v>0</v>
      </c>
      <c r="F67" s="558"/>
    </row>
    <row r="68" spans="2:14" ht="14.85" customHeight="1">
      <c r="B68" s="129"/>
      <c r="C68" s="173" t="s">
        <v>194</v>
      </c>
      <c r="D68" s="562"/>
      <c r="E68" s="563">
        <f>D68*sõiduauto_tavaelekter_2026/1000</f>
        <v>0</v>
      </c>
      <c r="F68" s="558"/>
    </row>
    <row r="69" spans="2:14" ht="14.85" customHeight="1" thickBot="1">
      <c r="B69" s="117"/>
      <c r="C69" s="116" t="s">
        <v>195</v>
      </c>
      <c r="D69" s="562"/>
      <c r="E69" s="563">
        <f>D69*sõiduk_takso_2026/1000</f>
        <v>0</v>
      </c>
      <c r="F69" s="559"/>
    </row>
    <row r="70" spans="2:14" ht="14.85" customHeight="1">
      <c r="B70" s="117"/>
      <c r="C70" s="113" t="s">
        <v>196</v>
      </c>
      <c r="D70" s="561" t="s">
        <v>197</v>
      </c>
      <c r="E70" s="113" t="s">
        <v>187</v>
      </c>
      <c r="F70" s="113" t="s">
        <v>187</v>
      </c>
    </row>
    <row r="71" spans="2:14" ht="14.85" customHeight="1">
      <c r="B71" s="117"/>
      <c r="C71" s="116" t="s">
        <v>198</v>
      </c>
      <c r="D71" s="562"/>
      <c r="E71" s="563">
        <f>D71*sõiduk_buss_kaugliin_2026/1000</f>
        <v>0</v>
      </c>
      <c r="F71" s="558"/>
    </row>
    <row r="72" spans="2:14" ht="14.85" customHeight="1">
      <c r="B72" s="117"/>
      <c r="C72" s="554" t="s">
        <v>199</v>
      </c>
      <c r="D72" s="562"/>
      <c r="E72" s="563">
        <f>D72*sõiduk_buss_linnaliin_Tallinn_2026/1000</f>
        <v>0</v>
      </c>
      <c r="F72" s="558"/>
    </row>
    <row r="73" spans="2:14" ht="14.85" customHeight="1">
      <c r="B73" s="117"/>
      <c r="C73" s="554" t="s">
        <v>200</v>
      </c>
      <c r="D73" s="562"/>
      <c r="E73" s="563">
        <f>D73*sõiduk_buss_linnaliin_Eesti_2026/1000</f>
        <v>0</v>
      </c>
      <c r="F73" s="558"/>
    </row>
    <row r="74" spans="2:14" ht="14.85" customHeight="1">
      <c r="B74" s="117"/>
      <c r="C74" s="116" t="s">
        <v>201</v>
      </c>
      <c r="D74" s="562"/>
      <c r="E74" s="563" cm="1">
        <f t="array" ref="E74">D74*sõiduk_diiselrong_2026/1000</f>
        <v>0</v>
      </c>
      <c r="F74" s="558"/>
    </row>
    <row r="75" spans="2:14" ht="14.85" customHeight="1">
      <c r="B75" s="117"/>
      <c r="C75" s="116" t="s">
        <v>202</v>
      </c>
      <c r="D75" s="562"/>
      <c r="E75" s="563" cm="1">
        <f t="array" ref="E75">D75*sõiduk_elektrirong/1000</f>
        <v>0</v>
      </c>
      <c r="F75" s="558"/>
    </row>
    <row r="76" spans="2:14" ht="14.85" customHeight="1">
      <c r="B76" s="117"/>
      <c r="C76" s="556" t="s">
        <v>203</v>
      </c>
      <c r="D76" s="562"/>
      <c r="E76" s="563" cm="1">
        <f t="array" ref="E76">D76*sõiduk_laev_2026/1000</f>
        <v>0</v>
      </c>
      <c r="F76" s="558"/>
      <c r="N76" s="64"/>
    </row>
    <row r="77" spans="2:14" ht="14.85" customHeight="1" thickBot="1">
      <c r="B77" s="117"/>
      <c r="C77" s="173" t="s">
        <v>204</v>
      </c>
      <c r="D77" s="562"/>
      <c r="E77" s="564" cm="1">
        <f t="array" ref="E77">D77*sõiduk_lennuk_2026/1000</f>
        <v>0</v>
      </c>
      <c r="F77" s="558"/>
    </row>
    <row r="78" spans="2:14" ht="14.85" customHeight="1" thickBot="1">
      <c r="B78" s="555"/>
      <c r="C78" s="165" t="s">
        <v>205</v>
      </c>
      <c r="D78" s="560"/>
      <c r="E78" s="679">
        <f>SUM(E62:E69,E71:E77,F62:F69,F71:F77)</f>
        <v>0</v>
      </c>
      <c r="F78" s="680"/>
    </row>
    <row r="79" spans="2:14" ht="14.85" customHeight="1">
      <c r="C79" s="1"/>
      <c r="D79" s="1"/>
      <c r="E79" s="1"/>
      <c r="F79" s="1"/>
    </row>
    <row r="80" spans="2:14" ht="14.85" customHeight="1" thickBot="1">
      <c r="C80" s="1"/>
      <c r="D80" s="1"/>
      <c r="E80" s="1"/>
      <c r="F80" s="1"/>
    </row>
    <row r="81" spans="2:6" ht="14.85" customHeight="1">
      <c r="B81" s="653" t="s">
        <v>28</v>
      </c>
      <c r="C81" s="653" t="s">
        <v>52</v>
      </c>
      <c r="D81" s="661" t="s">
        <v>182</v>
      </c>
      <c r="E81" s="669" t="s">
        <v>183</v>
      </c>
      <c r="F81" s="661" t="s">
        <v>184</v>
      </c>
    </row>
    <row r="82" spans="2:6" ht="14.85" customHeight="1">
      <c r="B82" s="665"/>
      <c r="C82" s="665"/>
      <c r="D82" s="681"/>
      <c r="E82" s="670"/>
      <c r="F82" s="681"/>
    </row>
    <row r="83" spans="2:6" ht="14.85" customHeight="1" thickBot="1">
      <c r="B83" s="654"/>
      <c r="C83" s="654"/>
      <c r="D83" s="662"/>
      <c r="E83" s="671"/>
      <c r="F83" s="662"/>
    </row>
    <row r="84" spans="2:6" ht="14.85" customHeight="1">
      <c r="B84" s="224">
        <f>ÜLDANDMED!G14</f>
        <v>2027</v>
      </c>
      <c r="C84" s="168" t="s">
        <v>185</v>
      </c>
      <c r="D84" s="561" t="s">
        <v>186</v>
      </c>
      <c r="E84" s="113" t="s">
        <v>187</v>
      </c>
      <c r="F84" s="549" t="s">
        <v>187</v>
      </c>
    </row>
    <row r="85" spans="2:6" ht="14.85" customHeight="1">
      <c r="B85" s="129"/>
      <c r="C85" s="173" t="s">
        <v>188</v>
      </c>
      <c r="D85" s="562"/>
      <c r="E85" s="563">
        <f>D85*sõiduauto_bensiin_2027/1000</f>
        <v>0</v>
      </c>
      <c r="F85" s="558"/>
    </row>
    <row r="86" spans="2:6" ht="14.85" customHeight="1">
      <c r="B86" s="129"/>
      <c r="C86" s="173" t="s">
        <v>189</v>
      </c>
      <c r="D86" s="562"/>
      <c r="E86" s="563">
        <f>D86*sõiduauto_diisel_2027/1000</f>
        <v>0</v>
      </c>
      <c r="F86" s="558"/>
    </row>
    <row r="87" spans="2:6" ht="14.85" customHeight="1">
      <c r="B87" s="129"/>
      <c r="C87" s="550" t="s">
        <v>190</v>
      </c>
      <c r="D87" s="562"/>
      <c r="E87" s="563">
        <f>D87*sõiduauto_bioCNG_2027/1000</f>
        <v>0</v>
      </c>
      <c r="F87" s="558"/>
    </row>
    <row r="88" spans="2:6" ht="14.85" customHeight="1">
      <c r="B88" s="129"/>
      <c r="C88" s="550" t="s">
        <v>191</v>
      </c>
      <c r="D88" s="562"/>
      <c r="E88" s="563">
        <f>D88*sõiduauto_CNG_2027/1000</f>
        <v>0</v>
      </c>
      <c r="F88" s="558"/>
    </row>
    <row r="89" spans="2:6" ht="14.85" customHeight="1">
      <c r="B89" s="129"/>
      <c r="C89" s="173" t="s">
        <v>192</v>
      </c>
      <c r="D89" s="562"/>
      <c r="E89" s="563">
        <f>D89*sõiduauto_hübriid_2027/1000</f>
        <v>0</v>
      </c>
      <c r="F89" s="558"/>
    </row>
    <row r="90" spans="2:6" ht="14.85" customHeight="1">
      <c r="B90" s="129"/>
      <c r="C90" s="173" t="s">
        <v>193</v>
      </c>
      <c r="D90" s="562"/>
      <c r="E90" s="563">
        <f>D90*sõiduauto_taastuvelekter/1000</f>
        <v>0</v>
      </c>
      <c r="F90" s="558"/>
    </row>
    <row r="91" spans="2:6" ht="14.85" customHeight="1">
      <c r="B91" s="129"/>
      <c r="C91" s="173" t="s">
        <v>194</v>
      </c>
      <c r="D91" s="562"/>
      <c r="E91" s="563">
        <f>D91*sõiduauto_tavaelekter_2027/1000</f>
        <v>0</v>
      </c>
      <c r="F91" s="558"/>
    </row>
    <row r="92" spans="2:6" ht="14.85" customHeight="1" thickBot="1">
      <c r="B92" s="117"/>
      <c r="C92" s="116" t="s">
        <v>195</v>
      </c>
      <c r="D92" s="562"/>
      <c r="E92" s="563">
        <f>D92*sõiduk_takso_2027/1000</f>
        <v>0</v>
      </c>
      <c r="F92" s="559"/>
    </row>
    <row r="93" spans="2:6" ht="14.85" customHeight="1">
      <c r="B93" s="117"/>
      <c r="C93" s="113" t="s">
        <v>196</v>
      </c>
      <c r="D93" s="561" t="s">
        <v>197</v>
      </c>
      <c r="E93" s="113" t="s">
        <v>187</v>
      </c>
      <c r="F93" s="113" t="s">
        <v>187</v>
      </c>
    </row>
    <row r="94" spans="2:6" ht="14.85" customHeight="1">
      <c r="B94" s="117"/>
      <c r="C94" s="116" t="s">
        <v>198</v>
      </c>
      <c r="D94" s="562"/>
      <c r="E94" s="563">
        <f>D94*sõiduk_buss_kaugliin_2027/1000</f>
        <v>0</v>
      </c>
      <c r="F94" s="558"/>
    </row>
    <row r="95" spans="2:6" ht="14.85" customHeight="1">
      <c r="B95" s="117"/>
      <c r="C95" s="554" t="s">
        <v>199</v>
      </c>
      <c r="D95" s="562"/>
      <c r="E95" s="563">
        <f>D95*sõiduk_buss_linnaliin_Tallinn_2027/1000</f>
        <v>0</v>
      </c>
      <c r="F95" s="558"/>
    </row>
    <row r="96" spans="2:6" ht="14.85" customHeight="1">
      <c r="B96" s="117"/>
      <c r="C96" s="554" t="s">
        <v>200</v>
      </c>
      <c r="D96" s="562"/>
      <c r="E96" s="563">
        <f>D96*sõiduk_buss_linnaliin_Eesti_2027/1000</f>
        <v>0</v>
      </c>
      <c r="F96" s="558"/>
    </row>
    <row r="97" spans="2:14" ht="14.85" customHeight="1">
      <c r="B97" s="117"/>
      <c r="C97" s="116" t="s">
        <v>201</v>
      </c>
      <c r="D97" s="562"/>
      <c r="E97" s="563" cm="1">
        <f t="array" ref="E97">D97*sõiduk_diiselrong_2027/1000</f>
        <v>0</v>
      </c>
      <c r="F97" s="558"/>
    </row>
    <row r="98" spans="2:14" ht="14.85" customHeight="1">
      <c r="B98" s="117"/>
      <c r="C98" s="116" t="s">
        <v>202</v>
      </c>
      <c r="D98" s="562"/>
      <c r="E98" s="563" cm="1">
        <f t="array" ref="E98">D98*sõiduk_elektrirong/1000</f>
        <v>0</v>
      </c>
      <c r="F98" s="558"/>
    </row>
    <row r="99" spans="2:14" ht="14.85" customHeight="1">
      <c r="B99" s="117"/>
      <c r="C99" s="556" t="s">
        <v>203</v>
      </c>
      <c r="D99" s="562"/>
      <c r="E99" s="563" cm="1">
        <f t="array" ref="E99">D99*sõiduk_laev_2027/1000</f>
        <v>0</v>
      </c>
      <c r="F99" s="558"/>
      <c r="N99" s="64"/>
    </row>
    <row r="100" spans="2:14" ht="14.85" customHeight="1" thickBot="1">
      <c r="B100" s="117"/>
      <c r="C100" s="173" t="s">
        <v>204</v>
      </c>
      <c r="D100" s="562"/>
      <c r="E100" s="564">
        <f>D100*_xlfn.SINGLE(sõiduk_lennuk_2027)/1000</f>
        <v>0</v>
      </c>
      <c r="F100" s="558"/>
    </row>
    <row r="101" spans="2:14" ht="14.85" customHeight="1" thickBot="1">
      <c r="B101" s="555"/>
      <c r="C101" s="165" t="s">
        <v>205</v>
      </c>
      <c r="D101" s="560"/>
      <c r="E101" s="679">
        <f>SUM(E85:E92,E94:E100,F85:F92,F94:F100)</f>
        <v>0</v>
      </c>
      <c r="F101" s="680"/>
    </row>
    <row r="102" spans="2:14" ht="14.85" customHeight="1">
      <c r="C102" s="1"/>
      <c r="D102" s="1"/>
      <c r="E102" s="1"/>
      <c r="F102" s="1"/>
    </row>
    <row r="103" spans="2:14" ht="14.85" customHeight="1" thickBot="1">
      <c r="C103" s="1"/>
      <c r="D103" s="1"/>
      <c r="E103" s="1"/>
      <c r="F103" s="1"/>
    </row>
    <row r="104" spans="2:14" ht="14.85" customHeight="1">
      <c r="B104" s="653" t="s">
        <v>28</v>
      </c>
      <c r="C104" s="653" t="s">
        <v>52</v>
      </c>
      <c r="D104" s="661" t="s">
        <v>182</v>
      </c>
      <c r="E104" s="669" t="s">
        <v>183</v>
      </c>
      <c r="F104" s="661" t="s">
        <v>184</v>
      </c>
    </row>
    <row r="105" spans="2:14" ht="14.85" customHeight="1">
      <c r="B105" s="665"/>
      <c r="C105" s="665"/>
      <c r="D105" s="681"/>
      <c r="E105" s="670"/>
      <c r="F105" s="681"/>
    </row>
    <row r="106" spans="2:14" ht="14.85" customHeight="1" thickBot="1">
      <c r="B106" s="654"/>
      <c r="C106" s="654"/>
      <c r="D106" s="662"/>
      <c r="E106" s="671"/>
      <c r="F106" s="662"/>
    </row>
    <row r="107" spans="2:14" ht="14.85" customHeight="1">
      <c r="B107" s="224">
        <f>ÜLDANDMED!H14</f>
        <v>2028</v>
      </c>
      <c r="C107" s="168" t="s">
        <v>185</v>
      </c>
      <c r="D107" s="561" t="s">
        <v>186</v>
      </c>
      <c r="E107" s="113" t="s">
        <v>187</v>
      </c>
      <c r="F107" s="549" t="s">
        <v>187</v>
      </c>
    </row>
    <row r="108" spans="2:14" ht="14.85" customHeight="1">
      <c r="B108" s="129"/>
      <c r="C108" s="173" t="s">
        <v>188</v>
      </c>
      <c r="D108" s="562"/>
      <c r="E108" s="563">
        <f>D108*sõiduauto_bensiin_2028/1000</f>
        <v>0</v>
      </c>
      <c r="F108" s="558"/>
    </row>
    <row r="109" spans="2:14" ht="14.85" customHeight="1">
      <c r="B109" s="129"/>
      <c r="C109" s="173" t="s">
        <v>189</v>
      </c>
      <c r="D109" s="562"/>
      <c r="E109" s="563">
        <f>D109*sõiduauto_diisel_2028/1000</f>
        <v>0</v>
      </c>
      <c r="F109" s="558"/>
    </row>
    <row r="110" spans="2:14" ht="14.85" customHeight="1">
      <c r="B110" s="129"/>
      <c r="C110" s="550" t="s">
        <v>190</v>
      </c>
      <c r="D110" s="562"/>
      <c r="E110" s="563">
        <f>D110*sõiduauto_bioCNG_2028/1000</f>
        <v>0</v>
      </c>
      <c r="F110" s="558"/>
    </row>
    <row r="111" spans="2:14" ht="14.85" customHeight="1">
      <c r="B111" s="129"/>
      <c r="C111" s="550" t="s">
        <v>191</v>
      </c>
      <c r="D111" s="562"/>
      <c r="E111" s="563">
        <f>D111*sõiduauto_CNG_2028/1000</f>
        <v>0</v>
      </c>
      <c r="F111" s="558"/>
    </row>
    <row r="112" spans="2:14" ht="14.85" customHeight="1">
      <c r="B112" s="129"/>
      <c r="C112" s="173" t="s">
        <v>192</v>
      </c>
      <c r="D112" s="562"/>
      <c r="E112" s="563">
        <f>D112*sõiduauto_hübriid_2028/1000</f>
        <v>0</v>
      </c>
      <c r="F112" s="558"/>
    </row>
    <row r="113" spans="2:14" ht="14.85" customHeight="1">
      <c r="B113" s="129"/>
      <c r="C113" s="173" t="s">
        <v>193</v>
      </c>
      <c r="D113" s="562"/>
      <c r="E113" s="563">
        <f>D113*sõiduauto_taastuvelekter/1000</f>
        <v>0</v>
      </c>
      <c r="F113" s="558"/>
    </row>
    <row r="114" spans="2:14" ht="14.85" customHeight="1">
      <c r="B114" s="129"/>
      <c r="C114" s="173" t="s">
        <v>194</v>
      </c>
      <c r="D114" s="562"/>
      <c r="E114" s="563">
        <f>D114*sõiduauto_tavaelekter_2028/1000</f>
        <v>0</v>
      </c>
      <c r="F114" s="558"/>
    </row>
    <row r="115" spans="2:14" ht="14.85" customHeight="1" thickBot="1">
      <c r="B115" s="117"/>
      <c r="C115" s="116" t="s">
        <v>195</v>
      </c>
      <c r="D115" s="562"/>
      <c r="E115" s="563">
        <f>D115*sõiduk_takso_2028/1000</f>
        <v>0</v>
      </c>
      <c r="F115" s="559"/>
    </row>
    <row r="116" spans="2:14" ht="14.85" customHeight="1">
      <c r="B116" s="117"/>
      <c r="C116" s="113" t="s">
        <v>196</v>
      </c>
      <c r="D116" s="561" t="s">
        <v>197</v>
      </c>
      <c r="E116" s="113" t="s">
        <v>187</v>
      </c>
      <c r="F116" s="113" t="s">
        <v>187</v>
      </c>
    </row>
    <row r="117" spans="2:14" ht="14.85" customHeight="1">
      <c r="B117" s="117"/>
      <c r="C117" s="116" t="s">
        <v>198</v>
      </c>
      <c r="D117" s="562"/>
      <c r="E117" s="563">
        <f>D117*sõiduk_buss_kaugliin_2028/1000</f>
        <v>0</v>
      </c>
      <c r="F117" s="558"/>
    </row>
    <row r="118" spans="2:14" ht="14.85" customHeight="1">
      <c r="B118" s="117"/>
      <c r="C118" s="554" t="s">
        <v>199</v>
      </c>
      <c r="D118" s="562"/>
      <c r="E118" s="563">
        <f>D118*sõiduk_buss_linnaliin_Tallinn_2028/1000</f>
        <v>0</v>
      </c>
      <c r="F118" s="558"/>
    </row>
    <row r="119" spans="2:14" ht="14.85" customHeight="1">
      <c r="B119" s="117"/>
      <c r="C119" s="554" t="s">
        <v>200</v>
      </c>
      <c r="D119" s="562"/>
      <c r="E119" s="563">
        <f>D119*sõiduk_buss_linnaliin_Eesti_2028/1000</f>
        <v>0</v>
      </c>
      <c r="F119" s="558"/>
    </row>
    <row r="120" spans="2:14" ht="14.85" customHeight="1">
      <c r="B120" s="117"/>
      <c r="C120" s="116" t="s">
        <v>201</v>
      </c>
      <c r="D120" s="562"/>
      <c r="E120" s="563" cm="1">
        <f t="array" ref="E120">D120*sõiduk_diiselrong_2028/1000</f>
        <v>0</v>
      </c>
      <c r="F120" s="558"/>
    </row>
    <row r="121" spans="2:14" ht="14.85" customHeight="1">
      <c r="B121" s="117"/>
      <c r="C121" s="116" t="s">
        <v>202</v>
      </c>
      <c r="D121" s="562"/>
      <c r="E121" s="563" cm="1">
        <f t="array" ref="E121">D121*sõiduk_elektrirong/1000</f>
        <v>0</v>
      </c>
      <c r="F121" s="558"/>
    </row>
    <row r="122" spans="2:14" ht="14.85" customHeight="1">
      <c r="B122" s="117"/>
      <c r="C122" s="556" t="s">
        <v>203</v>
      </c>
      <c r="D122" s="562"/>
      <c r="E122" s="563" cm="1">
        <f t="array" ref="E122">D122*sõiduk_laev_2028/1000</f>
        <v>0</v>
      </c>
      <c r="F122" s="558"/>
      <c r="N122" s="64"/>
    </row>
    <row r="123" spans="2:14" ht="14.85" customHeight="1" thickBot="1">
      <c r="B123" s="117"/>
      <c r="C123" s="173" t="s">
        <v>204</v>
      </c>
      <c r="D123" s="562"/>
      <c r="E123" s="564" cm="1">
        <f t="array" ref="E123">D123*sõiduk_lennuk_2028/1000</f>
        <v>0</v>
      </c>
      <c r="F123" s="558"/>
    </row>
    <row r="124" spans="2:14" ht="14.85" customHeight="1" thickBot="1">
      <c r="B124" s="555"/>
      <c r="C124" s="165" t="s">
        <v>205</v>
      </c>
      <c r="D124" s="560"/>
      <c r="E124" s="679">
        <f>SUM(E108:E115,E117:E123,F108:F115,F117:F123)</f>
        <v>0</v>
      </c>
      <c r="F124" s="680"/>
    </row>
    <row r="125" spans="2:14" ht="14.85" customHeight="1">
      <c r="C125" s="1"/>
      <c r="D125" s="1"/>
      <c r="E125" s="1"/>
      <c r="F125" s="1"/>
    </row>
    <row r="126" spans="2:14" ht="14.85" customHeight="1" thickBot="1">
      <c r="C126" s="1"/>
      <c r="D126" s="1"/>
      <c r="E126" s="1"/>
      <c r="F126" s="1"/>
    </row>
    <row r="127" spans="2:14" ht="14.85" customHeight="1">
      <c r="B127" s="653" t="s">
        <v>28</v>
      </c>
      <c r="C127" s="653" t="s">
        <v>52</v>
      </c>
      <c r="D127" s="661" t="s">
        <v>182</v>
      </c>
      <c r="E127" s="669" t="s">
        <v>183</v>
      </c>
      <c r="F127" s="661" t="s">
        <v>184</v>
      </c>
    </row>
    <row r="128" spans="2:14" ht="14.85" customHeight="1">
      <c r="B128" s="665"/>
      <c r="C128" s="665"/>
      <c r="D128" s="681"/>
      <c r="E128" s="670"/>
      <c r="F128" s="681"/>
    </row>
    <row r="129" spans="2:6" ht="14.85" customHeight="1" thickBot="1">
      <c r="B129" s="654"/>
      <c r="C129" s="654"/>
      <c r="D129" s="662"/>
      <c r="E129" s="671"/>
      <c r="F129" s="662"/>
    </row>
    <row r="130" spans="2:6" ht="14.85" customHeight="1">
      <c r="B130" s="224">
        <f>ÜLDANDMED!I14</f>
        <v>2029</v>
      </c>
      <c r="C130" s="168" t="s">
        <v>185</v>
      </c>
      <c r="D130" s="561" t="s">
        <v>186</v>
      </c>
      <c r="E130" s="113" t="s">
        <v>187</v>
      </c>
      <c r="F130" s="549" t="s">
        <v>187</v>
      </c>
    </row>
    <row r="131" spans="2:6" ht="14.85" customHeight="1">
      <c r="B131" s="143"/>
      <c r="C131" s="173" t="s">
        <v>188</v>
      </c>
      <c r="D131" s="562"/>
      <c r="E131" s="563">
        <f>D131*sõiduauto_bensiin_2029/1000</f>
        <v>0</v>
      </c>
      <c r="F131" s="558"/>
    </row>
    <row r="132" spans="2:6" ht="14.85" customHeight="1">
      <c r="B132" s="143"/>
      <c r="C132" s="173" t="s">
        <v>189</v>
      </c>
      <c r="D132" s="562"/>
      <c r="E132" s="563">
        <f>D132*sõiduauto_diisel_2029/1000</f>
        <v>0</v>
      </c>
      <c r="F132" s="558"/>
    </row>
    <row r="133" spans="2:6" ht="14.85" customHeight="1">
      <c r="B133" s="143"/>
      <c r="C133" s="173" t="s">
        <v>190</v>
      </c>
      <c r="D133" s="562"/>
      <c r="E133" s="563">
        <f>D133*sõiduauto_bioCNG_2029/1000</f>
        <v>0</v>
      </c>
      <c r="F133" s="558"/>
    </row>
    <row r="134" spans="2:6" ht="14.85" customHeight="1">
      <c r="B134" s="129"/>
      <c r="C134" s="550" t="s">
        <v>191</v>
      </c>
      <c r="D134" s="562"/>
      <c r="E134" s="563">
        <f>D134*sõiduauto_CNG_2029/1000</f>
        <v>0</v>
      </c>
      <c r="F134" s="558"/>
    </row>
    <row r="135" spans="2:6" ht="14.85" customHeight="1">
      <c r="B135" s="143"/>
      <c r="C135" s="173" t="s">
        <v>192</v>
      </c>
      <c r="D135" s="562"/>
      <c r="E135" s="563">
        <f>D135*sõiduauto_hübriid_2029/1000</f>
        <v>0</v>
      </c>
      <c r="F135" s="558"/>
    </row>
    <row r="136" spans="2:6" ht="14.85" customHeight="1">
      <c r="B136" s="143"/>
      <c r="C136" s="173" t="s">
        <v>193</v>
      </c>
      <c r="D136" s="562"/>
      <c r="E136" s="563">
        <f>D136*sõiduauto_taastuvelekter/1000</f>
        <v>0</v>
      </c>
      <c r="F136" s="558"/>
    </row>
    <row r="137" spans="2:6" ht="14.85" customHeight="1">
      <c r="B137" s="143"/>
      <c r="C137" s="173" t="s">
        <v>194</v>
      </c>
      <c r="D137" s="562"/>
      <c r="E137" s="563">
        <f>D137*sõiduauto_tavaelekter_2029/1000</f>
        <v>0</v>
      </c>
      <c r="F137" s="558"/>
    </row>
    <row r="138" spans="2:6" ht="14.85" customHeight="1" thickBot="1">
      <c r="B138" s="133"/>
      <c r="C138" s="116" t="s">
        <v>195</v>
      </c>
      <c r="D138" s="562"/>
      <c r="E138" s="563">
        <f>D138*sõiduk_takso_2029/1000</f>
        <v>0</v>
      </c>
      <c r="F138" s="559"/>
    </row>
    <row r="139" spans="2:6" ht="14.85" customHeight="1">
      <c r="B139" s="133"/>
      <c r="C139" s="113" t="s">
        <v>196</v>
      </c>
      <c r="D139" s="561" t="s">
        <v>197</v>
      </c>
      <c r="E139" s="113" t="s">
        <v>187</v>
      </c>
      <c r="F139" s="113" t="s">
        <v>187</v>
      </c>
    </row>
    <row r="140" spans="2:6" ht="14.85" customHeight="1">
      <c r="B140" s="133"/>
      <c r="C140" s="116" t="s">
        <v>198</v>
      </c>
      <c r="D140" s="562"/>
      <c r="E140" s="563">
        <f>D140*sõiduk_buss_kaugliin_2029/1000</f>
        <v>0</v>
      </c>
      <c r="F140" s="558"/>
    </row>
    <row r="141" spans="2:6" ht="14.85" customHeight="1">
      <c r="B141" s="133"/>
      <c r="C141" s="116" t="s">
        <v>199</v>
      </c>
      <c r="D141" s="562"/>
      <c r="E141" s="563">
        <f>D141*sõiduk_buss_linnaliin_Tallinn_2029/1000</f>
        <v>0</v>
      </c>
      <c r="F141" s="558"/>
    </row>
    <row r="142" spans="2:6" ht="14.85" customHeight="1">
      <c r="B142" s="133"/>
      <c r="C142" s="116" t="s">
        <v>200</v>
      </c>
      <c r="D142" s="562"/>
      <c r="E142" s="563">
        <f>D142*sõiduk_buss_linnaliin_Eesti_2029/1000</f>
        <v>0</v>
      </c>
      <c r="F142" s="558"/>
    </row>
    <row r="143" spans="2:6" ht="14.85" customHeight="1">
      <c r="B143" s="133"/>
      <c r="C143" s="116" t="s">
        <v>201</v>
      </c>
      <c r="D143" s="562"/>
      <c r="E143" s="563" cm="1">
        <f t="array" ref="E143">D143*sõiduk_diiselrong_2029/1000</f>
        <v>0</v>
      </c>
      <c r="F143" s="558"/>
    </row>
    <row r="144" spans="2:6" ht="14.85" customHeight="1">
      <c r="B144" s="133"/>
      <c r="C144" s="116" t="s">
        <v>202</v>
      </c>
      <c r="D144" s="562"/>
      <c r="E144" s="563" cm="1">
        <f t="array" ref="E144">D144*sõiduk_elektrirong/1000</f>
        <v>0</v>
      </c>
      <c r="F144" s="558"/>
    </row>
    <row r="145" spans="2:14" ht="14.85" customHeight="1">
      <c r="B145" s="133"/>
      <c r="C145" s="556" t="s">
        <v>203</v>
      </c>
      <c r="D145" s="562"/>
      <c r="E145" s="563" cm="1">
        <f t="array" ref="E145">D145*sõiduk_laev_2029/1000</f>
        <v>0</v>
      </c>
      <c r="F145" s="558"/>
      <c r="N145" s="64"/>
    </row>
    <row r="146" spans="2:14" ht="14.85" customHeight="1" thickBot="1">
      <c r="B146" s="133"/>
      <c r="C146" s="173" t="s">
        <v>204</v>
      </c>
      <c r="D146" s="562"/>
      <c r="E146" s="564" cm="1">
        <f t="array" ref="E146">D146*sõiduk_lennuk_2029/1000</f>
        <v>0</v>
      </c>
      <c r="F146" s="558"/>
    </row>
    <row r="147" spans="2:14" ht="14.85" customHeight="1" thickBot="1">
      <c r="B147" s="555"/>
      <c r="C147" s="165" t="s">
        <v>205</v>
      </c>
      <c r="D147" s="560"/>
      <c r="E147" s="679">
        <f>SUM(E131:E138,E140:E146,F131:F138,F140:F146)</f>
        <v>0</v>
      </c>
      <c r="F147" s="680"/>
    </row>
    <row r="148" spans="2:14" ht="14.85" customHeight="1">
      <c r="C148" s="1"/>
      <c r="D148" s="1"/>
      <c r="E148" s="1"/>
      <c r="F148" s="1"/>
    </row>
    <row r="149" spans="2:14" ht="14.85" customHeight="1" thickBot="1">
      <c r="C149" s="1"/>
      <c r="D149" s="1"/>
      <c r="E149" s="1"/>
      <c r="F149" s="1"/>
    </row>
    <row r="150" spans="2:14" ht="14.85" customHeight="1">
      <c r="B150" s="653" t="s">
        <v>28</v>
      </c>
      <c r="C150" s="653" t="s">
        <v>52</v>
      </c>
      <c r="D150" s="661" t="s">
        <v>182</v>
      </c>
      <c r="E150" s="669" t="s">
        <v>183</v>
      </c>
      <c r="F150" s="661" t="s">
        <v>184</v>
      </c>
    </row>
    <row r="151" spans="2:14" ht="14.85" customHeight="1">
      <c r="B151" s="665"/>
      <c r="C151" s="665"/>
      <c r="D151" s="681"/>
      <c r="E151" s="670"/>
      <c r="F151" s="681"/>
    </row>
    <row r="152" spans="2:14" ht="14.85" customHeight="1" thickBot="1">
      <c r="B152" s="654"/>
      <c r="C152" s="654"/>
      <c r="D152" s="662"/>
      <c r="E152" s="671"/>
      <c r="F152" s="662"/>
    </row>
    <row r="153" spans="2:14" ht="14.85" customHeight="1">
      <c r="B153" s="224">
        <f>ÜLDANDMED!J14</f>
        <v>2030</v>
      </c>
      <c r="C153" s="168" t="s">
        <v>185</v>
      </c>
      <c r="D153" s="561" t="s">
        <v>186</v>
      </c>
      <c r="E153" s="113" t="s">
        <v>187</v>
      </c>
      <c r="F153" s="549" t="s">
        <v>187</v>
      </c>
    </row>
    <row r="154" spans="2:14" ht="14.85" customHeight="1">
      <c r="B154" s="143"/>
      <c r="C154" s="173" t="s">
        <v>188</v>
      </c>
      <c r="D154" s="562"/>
      <c r="E154" s="563">
        <f>D154*sõiduauto_bensiin_2030/1000</f>
        <v>0</v>
      </c>
      <c r="F154" s="558"/>
    </row>
    <row r="155" spans="2:14" ht="14.85" customHeight="1">
      <c r="B155" s="143"/>
      <c r="C155" s="173" t="s">
        <v>189</v>
      </c>
      <c r="D155" s="562"/>
      <c r="E155" s="563">
        <f>D155*sõiduauto_diisel_2030/1000</f>
        <v>0</v>
      </c>
      <c r="F155" s="558"/>
    </row>
    <row r="156" spans="2:14" ht="14.85" customHeight="1">
      <c r="B156" s="143"/>
      <c r="C156" s="173" t="s">
        <v>190</v>
      </c>
      <c r="D156" s="562"/>
      <c r="E156" s="563">
        <f>D156*sõiduauto_bioCNG_2030/1000</f>
        <v>0</v>
      </c>
      <c r="F156" s="558"/>
    </row>
    <row r="157" spans="2:14" ht="14.85" customHeight="1">
      <c r="B157" s="129"/>
      <c r="C157" s="550" t="s">
        <v>191</v>
      </c>
      <c r="D157" s="562"/>
      <c r="E157" s="563">
        <f>D157*sõiduauto_CNG_2030/1000</f>
        <v>0</v>
      </c>
      <c r="F157" s="558"/>
    </row>
    <row r="158" spans="2:14" ht="14.85" customHeight="1">
      <c r="B158" s="143"/>
      <c r="C158" s="173" t="s">
        <v>192</v>
      </c>
      <c r="D158" s="562"/>
      <c r="E158" s="563">
        <f>D158*sõiduauto_hübriid_2030/1000</f>
        <v>0</v>
      </c>
      <c r="F158" s="558"/>
    </row>
    <row r="159" spans="2:14" ht="14.85" customHeight="1">
      <c r="B159" s="143"/>
      <c r="C159" s="173" t="s">
        <v>193</v>
      </c>
      <c r="D159" s="562"/>
      <c r="E159" s="563">
        <f>D159*sõiduauto_taastuvelekter/1000</f>
        <v>0</v>
      </c>
      <c r="F159" s="558"/>
    </row>
    <row r="160" spans="2:14" ht="14.85" customHeight="1">
      <c r="B160" s="143"/>
      <c r="C160" s="173" t="s">
        <v>194</v>
      </c>
      <c r="D160" s="562"/>
      <c r="E160" s="563">
        <f>D160*sõiduauto_tavaelekter_2030/1000</f>
        <v>0</v>
      </c>
      <c r="F160" s="558"/>
    </row>
    <row r="161" spans="2:14" ht="14.85" customHeight="1" thickBot="1">
      <c r="B161" s="133"/>
      <c r="C161" s="116" t="s">
        <v>195</v>
      </c>
      <c r="D161" s="562"/>
      <c r="E161" s="568">
        <f>D161*sõiduk_takso_2030/1000</f>
        <v>0</v>
      </c>
      <c r="F161" s="559"/>
    </row>
    <row r="162" spans="2:14" ht="14.85" customHeight="1">
      <c r="B162" s="133"/>
      <c r="C162" s="113" t="s">
        <v>196</v>
      </c>
      <c r="D162" s="561" t="s">
        <v>197</v>
      </c>
      <c r="E162" s="113" t="s">
        <v>187</v>
      </c>
      <c r="F162" s="552" t="s">
        <v>187</v>
      </c>
    </row>
    <row r="163" spans="2:14" ht="14.85" customHeight="1">
      <c r="B163" s="133"/>
      <c r="C163" s="116" t="s">
        <v>198</v>
      </c>
      <c r="D163" s="562"/>
      <c r="E163" s="563">
        <f>D163*sõiduk_buss_kaugliin_2030/1000</f>
        <v>0</v>
      </c>
      <c r="F163" s="558"/>
    </row>
    <row r="164" spans="2:14" ht="14.85" customHeight="1">
      <c r="B164" s="133"/>
      <c r="C164" s="116" t="s">
        <v>199</v>
      </c>
      <c r="D164" s="562"/>
      <c r="E164" s="563">
        <f>D164*sõiduk_buss_linnaliin_Tallinn_2030/1000</f>
        <v>0</v>
      </c>
      <c r="F164" s="558"/>
    </row>
    <row r="165" spans="2:14" ht="14.85" customHeight="1">
      <c r="B165" s="117"/>
      <c r="C165" s="554" t="s">
        <v>200</v>
      </c>
      <c r="D165" s="562"/>
      <c r="E165" s="563">
        <f>D165*sõiduk_buss_linnaliin_Eesti_2030/1000</f>
        <v>0</v>
      </c>
      <c r="F165" s="558"/>
    </row>
    <row r="166" spans="2:14" ht="14.85" customHeight="1">
      <c r="B166" s="133"/>
      <c r="C166" s="116" t="s">
        <v>201</v>
      </c>
      <c r="D166" s="562"/>
      <c r="E166" s="563" cm="1">
        <f t="array" ref="E166">D166*sõiduk_diiselrong_2030/1000</f>
        <v>0</v>
      </c>
      <c r="F166" s="558"/>
    </row>
    <row r="167" spans="2:14" ht="14.85" customHeight="1">
      <c r="B167" s="133"/>
      <c r="C167" s="116" t="s">
        <v>202</v>
      </c>
      <c r="D167" s="562"/>
      <c r="E167" s="563" cm="1">
        <f t="array" ref="E167">D167*sõiduk_elektrirong/1000</f>
        <v>0</v>
      </c>
      <c r="F167" s="558"/>
    </row>
    <row r="168" spans="2:14" ht="14.85" customHeight="1">
      <c r="B168" s="133"/>
      <c r="C168" s="556" t="s">
        <v>203</v>
      </c>
      <c r="D168" s="562"/>
      <c r="E168" s="563" cm="1">
        <f t="array" ref="E168">D168*sõiduk_laev_2030/1000</f>
        <v>0</v>
      </c>
      <c r="F168" s="558"/>
      <c r="N168" s="64"/>
    </row>
    <row r="169" spans="2:14" ht="14.85" customHeight="1" thickBot="1">
      <c r="B169" s="133"/>
      <c r="C169" s="173" t="s">
        <v>204</v>
      </c>
      <c r="D169" s="562"/>
      <c r="E169" s="564" cm="1">
        <f t="array" ref="E169">D169*sõiduk_lennuk_2030/1000</f>
        <v>0</v>
      </c>
      <c r="F169" s="558"/>
    </row>
    <row r="170" spans="2:14" ht="14.85" customHeight="1" thickBot="1">
      <c r="B170" s="555"/>
      <c r="C170" s="165" t="s">
        <v>205</v>
      </c>
      <c r="D170" s="560"/>
      <c r="E170" s="679">
        <f>SUM(E154:E161,E163:E169,F154:F161,F163:F169)</f>
        <v>0</v>
      </c>
      <c r="F170" s="680"/>
    </row>
  </sheetData>
  <mergeCells count="45">
    <mergeCell ref="B3:O3"/>
    <mergeCell ref="B6:O6"/>
    <mergeCell ref="B5:O5"/>
    <mergeCell ref="B12:B14"/>
    <mergeCell ref="C12:C14"/>
    <mergeCell ref="D12:D14"/>
    <mergeCell ref="E12:E14"/>
    <mergeCell ref="F12:F14"/>
    <mergeCell ref="E32:F32"/>
    <mergeCell ref="B35:B37"/>
    <mergeCell ref="C35:C37"/>
    <mergeCell ref="D35:D37"/>
    <mergeCell ref="E35:E37"/>
    <mergeCell ref="F35:F37"/>
    <mergeCell ref="E55:F55"/>
    <mergeCell ref="B58:B60"/>
    <mergeCell ref="C58:C60"/>
    <mergeCell ref="D58:D60"/>
    <mergeCell ref="E58:E60"/>
    <mergeCell ref="F58:F60"/>
    <mergeCell ref="E78:F78"/>
    <mergeCell ref="B81:B83"/>
    <mergeCell ref="C81:C83"/>
    <mergeCell ref="D81:D83"/>
    <mergeCell ref="E81:E83"/>
    <mergeCell ref="F81:F83"/>
    <mergeCell ref="E101:F101"/>
    <mergeCell ref="B104:B106"/>
    <mergeCell ref="C104:C106"/>
    <mergeCell ref="D104:D106"/>
    <mergeCell ref="E104:E106"/>
    <mergeCell ref="F104:F106"/>
    <mergeCell ref="E124:F124"/>
    <mergeCell ref="B127:B129"/>
    <mergeCell ref="C127:C129"/>
    <mergeCell ref="D127:D129"/>
    <mergeCell ref="E127:E129"/>
    <mergeCell ref="F127:F129"/>
    <mergeCell ref="E170:F170"/>
    <mergeCell ref="E147:F147"/>
    <mergeCell ref="B150:B152"/>
    <mergeCell ref="C150:C152"/>
    <mergeCell ref="D150:D152"/>
    <mergeCell ref="E150:E152"/>
    <mergeCell ref="F150:F152"/>
  </mergeCells>
  <pageMargins left="0.70866141732283472" right="0.70866141732283472" top="0.74803149606299213" bottom="0.74803149606299213" header="0.31496062992125984" footer="0.31496062992125984"/>
  <pageSetup scale="78" fitToHeight="2"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0CC45-1092-413F-87D3-4ED5C2B27B62}">
  <sheetPr>
    <tabColor rgb="FFF4B084"/>
    <pageSetUpPr fitToPage="1"/>
  </sheetPr>
  <dimension ref="B2:Q110"/>
  <sheetViews>
    <sheetView showGridLines="0" zoomScale="90" zoomScaleNormal="90" workbookViewId="0">
      <pane xSplit="1" ySplit="2" topLeftCell="B3" activePane="bottomRight" state="frozen"/>
      <selection pane="bottomRight" activeCell="N28" sqref="N28"/>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43.5703125" style="4" bestFit="1" customWidth="1"/>
    <col min="4" max="4" width="16.85546875" style="4" bestFit="1" customWidth="1"/>
    <col min="5" max="5" width="15.5703125" style="4" customWidth="1"/>
    <col min="6" max="6" width="22.42578125" style="4" bestFit="1" customWidth="1"/>
    <col min="7" max="7" width="15.5703125" style="97" customWidth="1"/>
    <col min="8" max="8" width="15.5703125" style="4" customWidth="1"/>
    <col min="9" max="9" width="15.5703125" style="1" customWidth="1"/>
    <col min="10" max="10" width="16" style="4" bestFit="1" customWidth="1"/>
    <col min="11" max="11" width="15.5703125" style="62" customWidth="1"/>
    <col min="12" max="16384" width="9.140625" style="1"/>
  </cols>
  <sheetData>
    <row r="2" spans="2:17" ht="18.600000000000001" customHeight="1">
      <c r="B2" s="94" t="s">
        <v>206</v>
      </c>
      <c r="C2" s="95"/>
      <c r="E2" s="96"/>
    </row>
    <row r="3" spans="2:17" ht="48.95" customHeight="1">
      <c r="B3" s="642" t="s">
        <v>207</v>
      </c>
      <c r="C3" s="642"/>
      <c r="D3" s="642"/>
      <c r="E3" s="642"/>
      <c r="F3" s="642"/>
      <c r="G3" s="642"/>
      <c r="H3" s="642"/>
      <c r="I3" s="642"/>
      <c r="J3" s="642"/>
      <c r="K3" s="642"/>
    </row>
    <row r="4" spans="2:17" ht="76.900000000000006" customHeight="1">
      <c r="B4" s="648" t="s">
        <v>208</v>
      </c>
      <c r="C4" s="648"/>
      <c r="D4" s="648"/>
      <c r="E4" s="648"/>
      <c r="F4" s="648"/>
      <c r="G4" s="648"/>
      <c r="H4" s="648"/>
      <c r="I4" s="648"/>
      <c r="J4" s="648"/>
      <c r="K4" s="648"/>
    </row>
    <row r="5" spans="2:17" ht="34.9" customHeight="1">
      <c r="B5" s="650" t="s">
        <v>209</v>
      </c>
      <c r="C5" s="650"/>
      <c r="D5" s="650"/>
      <c r="E5" s="650"/>
      <c r="F5" s="650"/>
      <c r="G5" s="650"/>
      <c r="H5" s="650"/>
      <c r="I5" s="650"/>
      <c r="J5" s="650"/>
      <c r="K5" s="650"/>
    </row>
    <row r="7" spans="2:17" ht="14.85" customHeight="1">
      <c r="B7" s="99" t="s">
        <v>15</v>
      </c>
      <c r="C7" s="100"/>
      <c r="E7" s="100"/>
    </row>
    <row r="8" spans="2:17" ht="14.85" customHeight="1">
      <c r="C8" s="298" t="s">
        <v>16</v>
      </c>
      <c r="E8" s="1"/>
    </row>
    <row r="9" spans="2:17" ht="14.85" customHeight="1">
      <c r="C9" s="322" t="s">
        <v>17</v>
      </c>
      <c r="E9" s="1"/>
    </row>
    <row r="10" spans="2:17" s="101" customFormat="1" ht="14.85" customHeight="1" thickBot="1">
      <c r="C10" s="613" t="s">
        <v>51</v>
      </c>
      <c r="D10" s="102"/>
      <c r="G10" s="102"/>
      <c r="H10" s="102"/>
      <c r="I10" s="102"/>
      <c r="J10" s="102"/>
      <c r="K10" s="103"/>
      <c r="L10" s="102"/>
      <c r="M10" s="102"/>
      <c r="N10" s="102"/>
      <c r="O10" s="104"/>
      <c r="P10" s="105"/>
      <c r="Q10" s="1"/>
    </row>
    <row r="11" spans="2:17" ht="14.85" customHeight="1" thickBot="1">
      <c r="D11" s="152" t="s">
        <v>210</v>
      </c>
      <c r="E11" s="644" t="s">
        <v>211</v>
      </c>
      <c r="F11" s="646"/>
      <c r="G11" s="644" t="s">
        <v>212</v>
      </c>
      <c r="H11" s="646"/>
      <c r="I11" s="644" t="s">
        <v>213</v>
      </c>
      <c r="J11" s="646"/>
    </row>
    <row r="12" spans="2:17" ht="14.85" customHeight="1">
      <c r="B12" s="653" t="s">
        <v>28</v>
      </c>
      <c r="C12" s="653" t="s">
        <v>52</v>
      </c>
      <c r="D12" s="661" t="s">
        <v>214</v>
      </c>
      <c r="E12" s="682" t="s">
        <v>147</v>
      </c>
      <c r="F12" s="685" t="s">
        <v>215</v>
      </c>
      <c r="G12" s="688" t="s">
        <v>182</v>
      </c>
      <c r="H12" s="685" t="s">
        <v>216</v>
      </c>
      <c r="I12" s="688" t="s">
        <v>182</v>
      </c>
      <c r="J12" s="685" t="s">
        <v>216</v>
      </c>
      <c r="K12" s="691" t="s">
        <v>217</v>
      </c>
    </row>
    <row r="13" spans="2:17" ht="14.85" customHeight="1">
      <c r="B13" s="665"/>
      <c r="C13" s="665"/>
      <c r="D13" s="681"/>
      <c r="E13" s="683"/>
      <c r="F13" s="686"/>
      <c r="G13" s="689"/>
      <c r="H13" s="686"/>
      <c r="I13" s="689"/>
      <c r="J13" s="686"/>
      <c r="K13" s="692"/>
    </row>
    <row r="14" spans="2:17" ht="14.85" customHeight="1">
      <c r="B14" s="665"/>
      <c r="C14" s="665"/>
      <c r="D14" s="681"/>
      <c r="E14" s="684"/>
      <c r="F14" s="687"/>
      <c r="G14" s="690"/>
      <c r="H14" s="687"/>
      <c r="I14" s="690"/>
      <c r="J14" s="687"/>
      <c r="K14" s="693"/>
    </row>
    <row r="15" spans="2:17" ht="14.85" customHeight="1" thickBot="1">
      <c r="B15" s="665"/>
      <c r="C15" s="654"/>
      <c r="D15" s="596" t="s">
        <v>187</v>
      </c>
      <c r="E15" s="107" t="s">
        <v>218</v>
      </c>
      <c r="F15" s="108" t="s">
        <v>219</v>
      </c>
      <c r="G15" s="109" t="s">
        <v>186</v>
      </c>
      <c r="H15" s="108" t="s">
        <v>220</v>
      </c>
      <c r="I15" s="107" t="s">
        <v>221</v>
      </c>
      <c r="J15" s="110" t="s">
        <v>222</v>
      </c>
      <c r="K15" s="111" t="s">
        <v>223</v>
      </c>
    </row>
    <row r="16" spans="2:17" ht="14.85" customHeight="1">
      <c r="B16" s="112">
        <f>ÜLDANDMED!D14</f>
        <v>2024</v>
      </c>
      <c r="C16" s="214" t="s">
        <v>224</v>
      </c>
      <c r="D16" s="614"/>
      <c r="E16" s="312"/>
      <c r="F16" s="373">
        <f>E16*kütus_bensiin_kaubik_2024/1000</f>
        <v>0</v>
      </c>
      <c r="G16" s="312"/>
      <c r="H16" s="374">
        <f>G16*transport_kaubik_bensiin_km_2024/1000</f>
        <v>0</v>
      </c>
      <c r="I16" s="312"/>
      <c r="J16" s="373">
        <f>I16*transport_kaubik_bensiin_tonnkm_2024/1000</f>
        <v>0</v>
      </c>
      <c r="K16" s="375">
        <f>SUM(F16+H16+J16)</f>
        <v>0</v>
      </c>
    </row>
    <row r="17" spans="2:11" ht="14.85" customHeight="1">
      <c r="B17" s="115"/>
      <c r="C17" s="116" t="s">
        <v>225</v>
      </c>
      <c r="D17" s="615"/>
      <c r="E17" s="312"/>
      <c r="F17" s="373">
        <f>E17*kütus_diisel_kaubik_2024/1000</f>
        <v>0</v>
      </c>
      <c r="G17" s="312"/>
      <c r="H17" s="374">
        <f>G17*transport_kaubik_diisel_km_2024/1000</f>
        <v>0</v>
      </c>
      <c r="I17" s="312"/>
      <c r="J17" s="373">
        <f>I17*transport_kaubik_diisel_tonnkm_2024/1000</f>
        <v>0</v>
      </c>
      <c r="K17" s="375">
        <f>SUM(F17+H17+J17)</f>
        <v>0</v>
      </c>
    </row>
    <row r="18" spans="2:11" ht="14.85" customHeight="1">
      <c r="B18" s="117"/>
      <c r="C18" s="118" t="s">
        <v>226</v>
      </c>
      <c r="D18" s="615"/>
      <c r="E18" s="312"/>
      <c r="F18" s="373">
        <f>E18*kütus_taastuvelekter/1000</f>
        <v>0</v>
      </c>
      <c r="G18" s="312"/>
      <c r="H18" s="374">
        <f>G18*kütus_taastuvelekter/1000</f>
        <v>0</v>
      </c>
      <c r="I18" s="312"/>
      <c r="J18" s="373">
        <f>I18*kütus_taastuvelekter/1000</f>
        <v>0</v>
      </c>
      <c r="K18" s="375">
        <f>SUM(F18+H18+J18)</f>
        <v>0</v>
      </c>
    </row>
    <row r="19" spans="2:11" ht="14.85" customHeight="1">
      <c r="B19" s="117"/>
      <c r="C19" s="118" t="s">
        <v>227</v>
      </c>
      <c r="D19" s="615"/>
      <c r="E19" s="312"/>
      <c r="F19" s="373">
        <f>E19*segajääk_2024/1000</f>
        <v>0</v>
      </c>
      <c r="G19" s="312"/>
      <c r="H19" s="374">
        <f>G19*transport_kaubik_tavaelekter_km_2024/1000</f>
        <v>0</v>
      </c>
      <c r="I19" s="312"/>
      <c r="J19" s="373">
        <f>I19*transport_kaubik_tavaelekter_tonnkm_2024/1000</f>
        <v>0</v>
      </c>
      <c r="K19" s="375">
        <f>SUM(F19+H19+J19)</f>
        <v>0</v>
      </c>
    </row>
    <row r="20" spans="2:11" ht="14.85" customHeight="1">
      <c r="B20" s="117"/>
      <c r="C20" s="119" t="s">
        <v>228</v>
      </c>
      <c r="D20" s="615"/>
      <c r="E20" s="312"/>
      <c r="F20" s="373">
        <f>E20*kütus_diisel_buss_2024/1000</f>
        <v>0</v>
      </c>
      <c r="G20" s="312"/>
      <c r="H20" s="374">
        <f>G20*transport_buss_2024/1000</f>
        <v>0</v>
      </c>
      <c r="I20" s="607"/>
      <c r="J20" s="611"/>
      <c r="K20" s="370">
        <f>SUM(F20+H20)</f>
        <v>0</v>
      </c>
    </row>
    <row r="21" spans="2:11" ht="14.85" customHeight="1" thickBot="1">
      <c r="B21" s="117"/>
      <c r="C21" s="120" t="s">
        <v>229</v>
      </c>
      <c r="D21" s="616"/>
      <c r="E21" s="312"/>
      <c r="F21" s="376">
        <f>E21*kütus_diisel_kaubik_2024/1000</f>
        <v>0</v>
      </c>
      <c r="G21" s="312"/>
      <c r="H21" s="377">
        <f>IFERROR(G21*transport_väikebuss_2024/1000,0)</f>
        <v>0</v>
      </c>
      <c r="I21" s="609"/>
      <c r="J21" s="612"/>
      <c r="K21" s="597">
        <f>SUM(F21+H21)</f>
        <v>0</v>
      </c>
    </row>
    <row r="22" spans="2:11" ht="14.85" customHeight="1" thickBot="1">
      <c r="B22" s="121"/>
      <c r="C22" s="122" t="s">
        <v>230</v>
      </c>
      <c r="D22" s="605"/>
      <c r="E22" s="124"/>
      <c r="F22" s="124"/>
      <c r="G22" s="124"/>
      <c r="H22" s="124"/>
      <c r="I22" s="124"/>
      <c r="J22" s="125"/>
      <c r="K22" s="598">
        <f>SUM(D22,K16:K19,K20:K21)</f>
        <v>0</v>
      </c>
    </row>
    <row r="23" spans="2:11" ht="14.85" customHeight="1">
      <c r="C23" s="126"/>
      <c r="E23" s="1"/>
      <c r="F23" s="1"/>
      <c r="G23" s="1"/>
      <c r="H23" s="1"/>
      <c r="J23" s="1"/>
      <c r="K23" s="1"/>
    </row>
    <row r="24" spans="2:11" ht="14.85" customHeight="1" thickBot="1">
      <c r="C24" s="127"/>
      <c r="E24" s="1"/>
      <c r="F24" s="1"/>
      <c r="G24" s="1"/>
      <c r="H24" s="1"/>
      <c r="J24" s="1"/>
    </row>
    <row r="25" spans="2:11" ht="14.85" customHeight="1" thickBot="1">
      <c r="D25" s="152" t="s">
        <v>210</v>
      </c>
      <c r="E25" s="644" t="s">
        <v>211</v>
      </c>
      <c r="F25" s="646"/>
      <c r="G25" s="644" t="s">
        <v>212</v>
      </c>
      <c r="H25" s="646"/>
      <c r="I25" s="644" t="s">
        <v>213</v>
      </c>
      <c r="J25" s="646"/>
    </row>
    <row r="26" spans="2:11" ht="14.85" customHeight="1">
      <c r="B26" s="653" t="s">
        <v>28</v>
      </c>
      <c r="C26" s="653" t="s">
        <v>52</v>
      </c>
      <c r="D26" s="661" t="s">
        <v>214</v>
      </c>
      <c r="E26" s="682" t="s">
        <v>147</v>
      </c>
      <c r="F26" s="685" t="s">
        <v>231</v>
      </c>
      <c r="G26" s="688" t="s">
        <v>182</v>
      </c>
      <c r="H26" s="685" t="s">
        <v>216</v>
      </c>
      <c r="I26" s="688" t="s">
        <v>182</v>
      </c>
      <c r="J26" s="685" t="s">
        <v>216</v>
      </c>
      <c r="K26" s="691" t="s">
        <v>217</v>
      </c>
    </row>
    <row r="27" spans="2:11" ht="14.85" customHeight="1">
      <c r="B27" s="665"/>
      <c r="C27" s="665"/>
      <c r="D27" s="681"/>
      <c r="E27" s="683"/>
      <c r="F27" s="686"/>
      <c r="G27" s="689"/>
      <c r="H27" s="686"/>
      <c r="I27" s="689"/>
      <c r="J27" s="686"/>
      <c r="K27" s="692"/>
    </row>
    <row r="28" spans="2:11" ht="14.85" customHeight="1">
      <c r="B28" s="665"/>
      <c r="C28" s="665"/>
      <c r="D28" s="681"/>
      <c r="E28" s="684"/>
      <c r="F28" s="687"/>
      <c r="G28" s="690"/>
      <c r="H28" s="687"/>
      <c r="I28" s="690"/>
      <c r="J28" s="687"/>
      <c r="K28" s="693"/>
    </row>
    <row r="29" spans="2:11" ht="14.85" customHeight="1" thickBot="1">
      <c r="B29" s="665"/>
      <c r="C29" s="654"/>
      <c r="D29" s="596" t="s">
        <v>187</v>
      </c>
      <c r="E29" s="107" t="s">
        <v>218</v>
      </c>
      <c r="F29" s="108" t="s">
        <v>219</v>
      </c>
      <c r="G29" s="109" t="s">
        <v>186</v>
      </c>
      <c r="H29" s="108" t="s">
        <v>220</v>
      </c>
      <c r="I29" s="107" t="s">
        <v>221</v>
      </c>
      <c r="J29" s="110" t="s">
        <v>222</v>
      </c>
      <c r="K29" s="111" t="s">
        <v>223</v>
      </c>
    </row>
    <row r="30" spans="2:11" ht="14.85" customHeight="1">
      <c r="B30" s="112">
        <f>ÜLDANDMED!E14</f>
        <v>2025</v>
      </c>
      <c r="C30" s="214" t="s">
        <v>224</v>
      </c>
      <c r="D30" s="614"/>
      <c r="E30" s="312"/>
      <c r="F30" s="373">
        <f>E30*kütus_bensiin_kaubik_2025/1000</f>
        <v>0</v>
      </c>
      <c r="G30" s="312"/>
      <c r="H30" s="374">
        <f>G30*transport_kaubik_bensiin_km_2025/1000</f>
        <v>0</v>
      </c>
      <c r="I30" s="312"/>
      <c r="J30" s="373">
        <f>I30*transport_kaubik_bensiin_tonnkm_2025/1000</f>
        <v>0</v>
      </c>
      <c r="K30" s="375">
        <f>SUM(F30+H30+J30)</f>
        <v>0</v>
      </c>
    </row>
    <row r="31" spans="2:11" ht="14.85" customHeight="1">
      <c r="B31" s="129"/>
      <c r="C31" s="116" t="s">
        <v>225</v>
      </c>
      <c r="D31" s="615"/>
      <c r="E31" s="312"/>
      <c r="F31" s="373">
        <f>E31*kütus_diisel_kaubik_2025/1000</f>
        <v>0</v>
      </c>
      <c r="G31" s="312"/>
      <c r="H31" s="374">
        <f>G31*transport_kaubik_diisel_km_2025/1000</f>
        <v>0</v>
      </c>
      <c r="I31" s="312"/>
      <c r="J31" s="373">
        <f>I31*transport_kaubik_diisel_tonnkm_2025/1000</f>
        <v>0</v>
      </c>
      <c r="K31" s="375">
        <f t="shared" ref="K31:K33" si="0">SUM(F31+H31+J31)</f>
        <v>0</v>
      </c>
    </row>
    <row r="32" spans="2:11" ht="14.85" customHeight="1">
      <c r="B32" s="129"/>
      <c r="C32" s="118" t="s">
        <v>226</v>
      </c>
      <c r="D32" s="615"/>
      <c r="E32" s="312"/>
      <c r="F32" s="373">
        <f>E32*kütus_taastuvelekter/1000</f>
        <v>0</v>
      </c>
      <c r="G32" s="312"/>
      <c r="H32" s="374">
        <f>G32*kütus_taastuvelekter/1000</f>
        <v>0</v>
      </c>
      <c r="I32" s="312"/>
      <c r="J32" s="373">
        <f>I32*kütus_taastuvelekter/1000</f>
        <v>0</v>
      </c>
      <c r="K32" s="375">
        <f t="shared" si="0"/>
        <v>0</v>
      </c>
    </row>
    <row r="33" spans="2:11" ht="14.85" customHeight="1">
      <c r="B33" s="129"/>
      <c r="C33" s="118" t="s">
        <v>227</v>
      </c>
      <c r="D33" s="615"/>
      <c r="E33" s="312"/>
      <c r="F33" s="373">
        <f>E33*segajääk_2025/1000</f>
        <v>0</v>
      </c>
      <c r="G33" s="312"/>
      <c r="H33" s="374">
        <f>G33*transport_kaubik_tavaelekter_km_2025/1000</f>
        <v>0</v>
      </c>
      <c r="I33" s="312"/>
      <c r="J33" s="373">
        <f>I33*transport_kaubik_tavaelekter_tonnkm_2025/1000</f>
        <v>0</v>
      </c>
      <c r="K33" s="375">
        <f t="shared" si="0"/>
        <v>0</v>
      </c>
    </row>
    <row r="34" spans="2:11" ht="14.85" customHeight="1">
      <c r="B34" s="129"/>
      <c r="C34" s="116" t="s">
        <v>228</v>
      </c>
      <c r="D34" s="615"/>
      <c r="E34" s="312"/>
      <c r="F34" s="373">
        <f>E34*kütus_diisel_buss_2025/1000</f>
        <v>0</v>
      </c>
      <c r="G34" s="312"/>
      <c r="H34" s="374">
        <f>G34*transport_buss_2025/1000</f>
        <v>0</v>
      </c>
      <c r="I34" s="607"/>
      <c r="J34" s="608"/>
      <c r="K34" s="370">
        <f>SUM(F34+H34)</f>
        <v>0</v>
      </c>
    </row>
    <row r="35" spans="2:11" ht="14.85" customHeight="1" thickBot="1">
      <c r="B35" s="129"/>
      <c r="C35" s="130" t="s">
        <v>229</v>
      </c>
      <c r="D35" s="616"/>
      <c r="E35" s="312"/>
      <c r="F35" s="376">
        <f>E35*kütus_diisel_kaubik_2025/1000</f>
        <v>0</v>
      </c>
      <c r="G35" s="312"/>
      <c r="H35" s="377">
        <f>IFERROR(G35*transport_väikebuss_2025/1000,0)</f>
        <v>0</v>
      </c>
      <c r="I35" s="609"/>
      <c r="J35" s="610"/>
      <c r="K35" s="378">
        <f>SUM(F35+H35)</f>
        <v>0</v>
      </c>
    </row>
    <row r="36" spans="2:11" ht="14.85" customHeight="1" thickBot="1">
      <c r="B36" s="131"/>
      <c r="C36" s="122" t="s">
        <v>230</v>
      </c>
      <c r="D36" s="605"/>
      <c r="E36" s="123"/>
      <c r="F36" s="124"/>
      <c r="G36" s="124"/>
      <c r="H36" s="124"/>
      <c r="I36" s="124"/>
      <c r="J36" s="125"/>
      <c r="K36" s="598">
        <f>SUM(D36,K30:K33,K34:K35)</f>
        <v>0</v>
      </c>
    </row>
    <row r="37" spans="2:11" ht="14.85" customHeight="1">
      <c r="C37" s="126"/>
      <c r="E37" s="1"/>
      <c r="F37" s="1"/>
      <c r="G37" s="1"/>
      <c r="H37" s="1"/>
      <c r="J37" s="1"/>
      <c r="K37" s="1"/>
    </row>
    <row r="38" spans="2:11" ht="14.85" customHeight="1" thickBot="1">
      <c r="C38" s="1"/>
      <c r="E38" s="1"/>
      <c r="F38" s="1"/>
      <c r="G38" s="1"/>
      <c r="H38" s="1"/>
      <c r="J38" s="1"/>
    </row>
    <row r="39" spans="2:11" ht="14.85" customHeight="1" thickBot="1">
      <c r="D39" s="152" t="s">
        <v>210</v>
      </c>
      <c r="E39" s="644" t="s">
        <v>211</v>
      </c>
      <c r="F39" s="646"/>
      <c r="G39" s="644" t="s">
        <v>212</v>
      </c>
      <c r="H39" s="646"/>
      <c r="I39" s="644" t="s">
        <v>213</v>
      </c>
      <c r="J39" s="646"/>
    </row>
    <row r="40" spans="2:11" ht="14.85" customHeight="1">
      <c r="B40" s="653" t="s">
        <v>28</v>
      </c>
      <c r="C40" s="653" t="s">
        <v>52</v>
      </c>
      <c r="D40" s="661" t="s">
        <v>214</v>
      </c>
      <c r="E40" s="682" t="s">
        <v>147</v>
      </c>
      <c r="F40" s="685" t="s">
        <v>215</v>
      </c>
      <c r="G40" s="688" t="s">
        <v>182</v>
      </c>
      <c r="H40" s="685" t="s">
        <v>216</v>
      </c>
      <c r="I40" s="688" t="s">
        <v>182</v>
      </c>
      <c r="J40" s="685" t="s">
        <v>216</v>
      </c>
      <c r="K40" s="691" t="s">
        <v>217</v>
      </c>
    </row>
    <row r="41" spans="2:11" ht="14.85" customHeight="1">
      <c r="B41" s="665"/>
      <c r="C41" s="665"/>
      <c r="D41" s="681"/>
      <c r="E41" s="683"/>
      <c r="F41" s="686"/>
      <c r="G41" s="689"/>
      <c r="H41" s="686"/>
      <c r="I41" s="689"/>
      <c r="J41" s="686"/>
      <c r="K41" s="692"/>
    </row>
    <row r="42" spans="2:11" ht="14.85" customHeight="1">
      <c r="B42" s="665"/>
      <c r="C42" s="665"/>
      <c r="D42" s="681"/>
      <c r="E42" s="684"/>
      <c r="F42" s="687"/>
      <c r="G42" s="690"/>
      <c r="H42" s="687"/>
      <c r="I42" s="690"/>
      <c r="J42" s="687"/>
      <c r="K42" s="693"/>
    </row>
    <row r="43" spans="2:11" ht="14.85" customHeight="1" thickBot="1">
      <c r="B43" s="665"/>
      <c r="C43" s="654"/>
      <c r="D43" s="596" t="s">
        <v>187</v>
      </c>
      <c r="E43" s="107" t="s">
        <v>218</v>
      </c>
      <c r="F43" s="108" t="s">
        <v>219</v>
      </c>
      <c r="G43" s="109" t="s">
        <v>186</v>
      </c>
      <c r="H43" s="108" t="s">
        <v>220</v>
      </c>
      <c r="I43" s="107" t="s">
        <v>221</v>
      </c>
      <c r="J43" s="110" t="s">
        <v>222</v>
      </c>
      <c r="K43" s="111" t="s">
        <v>223</v>
      </c>
    </row>
    <row r="44" spans="2:11" ht="14.85" customHeight="1">
      <c r="B44" s="132">
        <f>ÜLDANDMED!F14</f>
        <v>2026</v>
      </c>
      <c r="C44" s="214" t="s">
        <v>224</v>
      </c>
      <c r="D44" s="614"/>
      <c r="E44" s="312"/>
      <c r="F44" s="373">
        <f>E44*kütus_bensiin_kaubik_2026/1000</f>
        <v>0</v>
      </c>
      <c r="G44" s="312"/>
      <c r="H44" s="374">
        <f>G44*transport_kaubik_bensiin_km_2026/1000</f>
        <v>0</v>
      </c>
      <c r="I44" s="312"/>
      <c r="J44" s="373">
        <f>I44*transport_kaubik_bensiin_tonnkm_2026/1000</f>
        <v>0</v>
      </c>
      <c r="K44" s="375">
        <f>SUM(F44+H44+J44)</f>
        <v>0</v>
      </c>
    </row>
    <row r="45" spans="2:11" ht="14.85" customHeight="1">
      <c r="B45" s="133"/>
      <c r="C45" s="116" t="s">
        <v>225</v>
      </c>
      <c r="D45" s="615"/>
      <c r="E45" s="312"/>
      <c r="F45" s="373">
        <f>E45*kütus_diisel_kaubik_2026/1000</f>
        <v>0</v>
      </c>
      <c r="G45" s="312"/>
      <c r="H45" s="374">
        <f>G45*transport_kaubik_diisel_km_2026/1000</f>
        <v>0</v>
      </c>
      <c r="I45" s="312"/>
      <c r="J45" s="373">
        <f>I45*transport_kaubik_diisel_tonnkm_2026/1000</f>
        <v>0</v>
      </c>
      <c r="K45" s="375">
        <f t="shared" ref="K45:K47" si="1">SUM(F45+H45+J45)</f>
        <v>0</v>
      </c>
    </row>
    <row r="46" spans="2:11" ht="14.85" customHeight="1">
      <c r="B46" s="133"/>
      <c r="C46" s="118" t="s">
        <v>226</v>
      </c>
      <c r="D46" s="615"/>
      <c r="E46" s="312"/>
      <c r="F46" s="373">
        <f>E46*kütus_taastuvelekter/1000</f>
        <v>0</v>
      </c>
      <c r="G46" s="312"/>
      <c r="H46" s="374">
        <f>G46*kütus_taastuvelekter/1000</f>
        <v>0</v>
      </c>
      <c r="I46" s="312"/>
      <c r="J46" s="373">
        <f>I46*kütus_taastuvelekter/1000</f>
        <v>0</v>
      </c>
      <c r="K46" s="375">
        <f t="shared" si="1"/>
        <v>0</v>
      </c>
    </row>
    <row r="47" spans="2:11" ht="14.85" customHeight="1">
      <c r="B47" s="133"/>
      <c r="C47" s="118" t="s">
        <v>227</v>
      </c>
      <c r="D47" s="615"/>
      <c r="E47" s="312"/>
      <c r="F47" s="373">
        <f>E47*segajääk_2026/1000</f>
        <v>0</v>
      </c>
      <c r="G47" s="312"/>
      <c r="H47" s="374">
        <f>G47*transport_kaubik_tavaelekter_km_2026/1000</f>
        <v>0</v>
      </c>
      <c r="I47" s="312"/>
      <c r="J47" s="373">
        <f>I47*transport_kaubik_tavaelekter_tonnkm_2026/1000</f>
        <v>0</v>
      </c>
      <c r="K47" s="375">
        <f t="shared" si="1"/>
        <v>0</v>
      </c>
    </row>
    <row r="48" spans="2:11" ht="14.85" customHeight="1">
      <c r="B48" s="133"/>
      <c r="C48" s="116" t="s">
        <v>228</v>
      </c>
      <c r="D48" s="615"/>
      <c r="E48" s="315"/>
      <c r="F48" s="373">
        <f>E48*kütus_diisel_buss_2026/1000</f>
        <v>0</v>
      </c>
      <c r="G48" s="315"/>
      <c r="H48" s="374">
        <f>G48*transport_buss_2026/1000</f>
        <v>0</v>
      </c>
      <c r="I48" s="607"/>
      <c r="J48" s="608"/>
      <c r="K48" s="370">
        <f>SUM(F48+H48)</f>
        <v>0</v>
      </c>
    </row>
    <row r="49" spans="2:11" ht="14.85" customHeight="1" thickBot="1">
      <c r="B49" s="115"/>
      <c r="C49" s="130" t="s">
        <v>229</v>
      </c>
      <c r="D49" s="616"/>
      <c r="E49" s="317"/>
      <c r="F49" s="376">
        <f>E49*kütus_diisel_kaubik_2026/1000</f>
        <v>0</v>
      </c>
      <c r="G49" s="317"/>
      <c r="H49" s="377">
        <f>IFERROR(G49*transport_väikebuss_2026/1000,0)</f>
        <v>0</v>
      </c>
      <c r="I49" s="609"/>
      <c r="J49" s="610"/>
      <c r="K49" s="378">
        <f>SUM(F49+H49)</f>
        <v>0</v>
      </c>
    </row>
    <row r="50" spans="2:11" ht="14.85" customHeight="1" thickBot="1">
      <c r="B50" s="131"/>
      <c r="C50" s="122" t="s">
        <v>230</v>
      </c>
      <c r="D50" s="605"/>
      <c r="E50" s="123"/>
      <c r="F50" s="124"/>
      <c r="G50" s="124"/>
      <c r="H50" s="124"/>
      <c r="I50" s="124"/>
      <c r="J50" s="125"/>
      <c r="K50" s="598">
        <f>SUM(D50,K44:K47,K48:K49)</f>
        <v>0</v>
      </c>
    </row>
    <row r="51" spans="2:11" ht="14.85" customHeight="1">
      <c r="C51" s="126"/>
      <c r="E51" s="1"/>
      <c r="F51" s="1"/>
      <c r="G51" s="1"/>
      <c r="H51" s="1"/>
      <c r="J51" s="1"/>
      <c r="K51" s="1"/>
    </row>
    <row r="52" spans="2:11" ht="14.85" customHeight="1" thickBot="1">
      <c r="C52" s="1"/>
      <c r="E52" s="1"/>
      <c r="F52" s="1"/>
      <c r="G52" s="1"/>
      <c r="H52" s="1"/>
      <c r="J52" s="1"/>
    </row>
    <row r="53" spans="2:11" ht="14.85" customHeight="1" thickBot="1">
      <c r="D53" s="152" t="s">
        <v>210</v>
      </c>
      <c r="E53" s="644" t="s">
        <v>211</v>
      </c>
      <c r="F53" s="646"/>
      <c r="G53" s="644" t="s">
        <v>212</v>
      </c>
      <c r="H53" s="646"/>
      <c r="I53" s="644" t="s">
        <v>213</v>
      </c>
      <c r="J53" s="646"/>
    </row>
    <row r="54" spans="2:11" ht="14.85" customHeight="1">
      <c r="B54" s="653" t="s">
        <v>28</v>
      </c>
      <c r="C54" s="653" t="s">
        <v>52</v>
      </c>
      <c r="D54" s="661" t="s">
        <v>214</v>
      </c>
      <c r="E54" s="682" t="s">
        <v>147</v>
      </c>
      <c r="F54" s="685" t="s">
        <v>215</v>
      </c>
      <c r="G54" s="688" t="s">
        <v>182</v>
      </c>
      <c r="H54" s="685" t="s">
        <v>216</v>
      </c>
      <c r="I54" s="688" t="s">
        <v>182</v>
      </c>
      <c r="J54" s="685" t="s">
        <v>216</v>
      </c>
      <c r="K54" s="691" t="s">
        <v>217</v>
      </c>
    </row>
    <row r="55" spans="2:11" ht="14.85" customHeight="1">
      <c r="B55" s="665"/>
      <c r="C55" s="665"/>
      <c r="D55" s="681"/>
      <c r="E55" s="683"/>
      <c r="F55" s="686"/>
      <c r="G55" s="689"/>
      <c r="H55" s="686"/>
      <c r="I55" s="689"/>
      <c r="J55" s="686"/>
      <c r="K55" s="692"/>
    </row>
    <row r="56" spans="2:11" ht="14.85" customHeight="1">
      <c r="B56" s="665"/>
      <c r="C56" s="665"/>
      <c r="D56" s="681"/>
      <c r="E56" s="684"/>
      <c r="F56" s="687"/>
      <c r="G56" s="690"/>
      <c r="H56" s="687"/>
      <c r="I56" s="690"/>
      <c r="J56" s="687"/>
      <c r="K56" s="693"/>
    </row>
    <row r="57" spans="2:11" ht="14.85" customHeight="1" thickBot="1">
      <c r="B57" s="665"/>
      <c r="C57" s="654"/>
      <c r="D57" s="596" t="s">
        <v>187</v>
      </c>
      <c r="E57" s="107" t="s">
        <v>218</v>
      </c>
      <c r="F57" s="108" t="s">
        <v>219</v>
      </c>
      <c r="G57" s="109" t="s">
        <v>186</v>
      </c>
      <c r="H57" s="108" t="s">
        <v>220</v>
      </c>
      <c r="I57" s="107" t="s">
        <v>221</v>
      </c>
      <c r="J57" s="110" t="s">
        <v>222</v>
      </c>
      <c r="K57" s="111" t="s">
        <v>223</v>
      </c>
    </row>
    <row r="58" spans="2:11" ht="14.85" customHeight="1">
      <c r="B58" s="112">
        <f>ÜLDANDMED!G14</f>
        <v>2027</v>
      </c>
      <c r="C58" s="214" t="s">
        <v>224</v>
      </c>
      <c r="D58" s="614"/>
      <c r="E58" s="312"/>
      <c r="F58" s="373">
        <f>E58*kütus_bensiin_kaubik_2027/1000</f>
        <v>0</v>
      </c>
      <c r="G58" s="313"/>
      <c r="H58" s="374">
        <f>G58*transport_kaubik_bensiin_km_2027/1000</f>
        <v>0</v>
      </c>
      <c r="I58" s="314"/>
      <c r="J58" s="373">
        <f>I58*transport_kaubik_bensiin_tonnkm_2027/1000</f>
        <v>0</v>
      </c>
      <c r="K58" s="375">
        <f>SUM(F58+H58+J58)</f>
        <v>0</v>
      </c>
    </row>
    <row r="59" spans="2:11" ht="14.85" customHeight="1">
      <c r="B59" s="117"/>
      <c r="C59" s="116" t="s">
        <v>225</v>
      </c>
      <c r="D59" s="615"/>
      <c r="E59" s="312"/>
      <c r="F59" s="373">
        <f>E59*kütus_diisel_kaubik_2027/1000</f>
        <v>0</v>
      </c>
      <c r="G59" s="313"/>
      <c r="H59" s="374">
        <f>G59*transport_kaubik_diisel_km_2027/1000</f>
        <v>0</v>
      </c>
      <c r="I59" s="314"/>
      <c r="J59" s="373">
        <f>I59*transport_kaubik_diisel_tonnkm_2027/1000</f>
        <v>0</v>
      </c>
      <c r="K59" s="375">
        <f t="shared" ref="K59:K61" si="2">SUM(F59+H59+J59)</f>
        <v>0</v>
      </c>
    </row>
    <row r="60" spans="2:11" ht="14.85" customHeight="1">
      <c r="B60" s="117"/>
      <c r="C60" s="118" t="s">
        <v>226</v>
      </c>
      <c r="D60" s="615"/>
      <c r="E60" s="312"/>
      <c r="F60" s="373">
        <f>E60*kütus_taastuvelekter/1000</f>
        <v>0</v>
      </c>
      <c r="G60" s="313"/>
      <c r="H60" s="374">
        <f>G60*kütus_taastuvelekter/1000</f>
        <v>0</v>
      </c>
      <c r="I60" s="314"/>
      <c r="J60" s="373">
        <f>I60*kütus_taastuvelekter/1000</f>
        <v>0</v>
      </c>
      <c r="K60" s="375">
        <f t="shared" si="2"/>
        <v>0</v>
      </c>
    </row>
    <row r="61" spans="2:11" ht="14.85" customHeight="1">
      <c r="B61" s="117"/>
      <c r="C61" s="118" t="s">
        <v>227</v>
      </c>
      <c r="D61" s="615"/>
      <c r="E61" s="312"/>
      <c r="F61" s="373">
        <f>E61*segajääk_2027/1000</f>
        <v>0</v>
      </c>
      <c r="G61" s="313"/>
      <c r="H61" s="374">
        <f>G61*transport_kaubik_tavaelekter_km_2027/1000</f>
        <v>0</v>
      </c>
      <c r="I61" s="314"/>
      <c r="J61" s="373">
        <f>I61*transport_kaubik_tavaelekter_tonnkm_2027/1000</f>
        <v>0</v>
      </c>
      <c r="K61" s="375">
        <f t="shared" si="2"/>
        <v>0</v>
      </c>
    </row>
    <row r="62" spans="2:11" ht="14.85" customHeight="1">
      <c r="B62" s="117"/>
      <c r="C62" s="116" t="s">
        <v>228</v>
      </c>
      <c r="D62" s="615"/>
      <c r="E62" s="315"/>
      <c r="F62" s="373">
        <f>E62*kütus_diisel_buss_2027/1000</f>
        <v>0</v>
      </c>
      <c r="G62" s="316"/>
      <c r="H62" s="374">
        <f>G62*transport_buss_2027/1000</f>
        <v>0</v>
      </c>
      <c r="I62" s="607"/>
      <c r="J62" s="608"/>
      <c r="K62" s="370">
        <f>SUM(F62+H62)</f>
        <v>0</v>
      </c>
    </row>
    <row r="63" spans="2:11" ht="14.85" customHeight="1" thickBot="1">
      <c r="B63" s="115"/>
      <c r="C63" s="130" t="s">
        <v>229</v>
      </c>
      <c r="D63" s="616"/>
      <c r="E63" s="317"/>
      <c r="F63" s="376">
        <f>E63*kütus_diisel_kaubik_2027/1000</f>
        <v>0</v>
      </c>
      <c r="G63" s="318"/>
      <c r="H63" s="377">
        <f>IFERROR(G63*transport_väikebuss_2027/1000,0)</f>
        <v>0</v>
      </c>
      <c r="I63" s="609"/>
      <c r="J63" s="610"/>
      <c r="K63" s="378">
        <f>SUM(F63+H63)</f>
        <v>0</v>
      </c>
    </row>
    <row r="64" spans="2:11" ht="14.85" customHeight="1" thickBot="1">
      <c r="B64" s="131"/>
      <c r="C64" s="122" t="s">
        <v>230</v>
      </c>
      <c r="D64" s="605"/>
      <c r="E64" s="123"/>
      <c r="F64" s="124"/>
      <c r="G64" s="124"/>
      <c r="H64" s="124"/>
      <c r="I64" s="124"/>
      <c r="J64" s="125"/>
      <c r="K64" s="598">
        <f>SUM(D64,K58:K61,K62:K63)</f>
        <v>0</v>
      </c>
    </row>
    <row r="65" spans="2:11" ht="14.85" customHeight="1">
      <c r="C65" s="126"/>
      <c r="E65" s="1"/>
      <c r="F65" s="1"/>
      <c r="G65" s="1"/>
      <c r="H65" s="1"/>
      <c r="J65" s="1"/>
      <c r="K65" s="1"/>
    </row>
    <row r="66" spans="2:11" ht="14.85" customHeight="1" thickBot="1">
      <c r="C66" s="1"/>
      <c r="E66" s="1"/>
      <c r="F66" s="1"/>
      <c r="G66" s="1"/>
      <c r="H66" s="1"/>
      <c r="J66" s="1"/>
    </row>
    <row r="67" spans="2:11" ht="14.85" customHeight="1" thickBot="1">
      <c r="D67" s="152" t="s">
        <v>210</v>
      </c>
      <c r="E67" s="644" t="s">
        <v>211</v>
      </c>
      <c r="F67" s="646"/>
      <c r="G67" s="644" t="s">
        <v>212</v>
      </c>
      <c r="H67" s="646"/>
      <c r="I67" s="644" t="s">
        <v>213</v>
      </c>
      <c r="J67" s="646"/>
    </row>
    <row r="68" spans="2:11" ht="14.85" customHeight="1">
      <c r="B68" s="653" t="s">
        <v>28</v>
      </c>
      <c r="C68" s="653" t="s">
        <v>52</v>
      </c>
      <c r="D68" s="661" t="s">
        <v>214</v>
      </c>
      <c r="E68" s="682" t="s">
        <v>147</v>
      </c>
      <c r="F68" s="685" t="s">
        <v>215</v>
      </c>
      <c r="G68" s="688" t="s">
        <v>182</v>
      </c>
      <c r="H68" s="685" t="s">
        <v>216</v>
      </c>
      <c r="I68" s="688" t="s">
        <v>182</v>
      </c>
      <c r="J68" s="685" t="s">
        <v>216</v>
      </c>
      <c r="K68" s="691" t="s">
        <v>217</v>
      </c>
    </row>
    <row r="69" spans="2:11" ht="14.85" customHeight="1">
      <c r="B69" s="665"/>
      <c r="C69" s="665"/>
      <c r="D69" s="681"/>
      <c r="E69" s="683"/>
      <c r="F69" s="686"/>
      <c r="G69" s="689"/>
      <c r="H69" s="686"/>
      <c r="I69" s="689"/>
      <c r="J69" s="686"/>
      <c r="K69" s="692"/>
    </row>
    <row r="70" spans="2:11" ht="14.85" customHeight="1">
      <c r="B70" s="665"/>
      <c r="C70" s="665"/>
      <c r="D70" s="681"/>
      <c r="E70" s="684"/>
      <c r="F70" s="687"/>
      <c r="G70" s="690"/>
      <c r="H70" s="687"/>
      <c r="I70" s="690"/>
      <c r="J70" s="687"/>
      <c r="K70" s="693"/>
    </row>
    <row r="71" spans="2:11" ht="14.85" customHeight="1" thickBot="1">
      <c r="B71" s="665"/>
      <c r="C71" s="654"/>
      <c r="D71" s="596" t="s">
        <v>187</v>
      </c>
      <c r="E71" s="107" t="s">
        <v>218</v>
      </c>
      <c r="F71" s="108" t="s">
        <v>219</v>
      </c>
      <c r="G71" s="109" t="s">
        <v>186</v>
      </c>
      <c r="H71" s="108" t="s">
        <v>220</v>
      </c>
      <c r="I71" s="107" t="s">
        <v>221</v>
      </c>
      <c r="J71" s="110" t="s">
        <v>222</v>
      </c>
      <c r="K71" s="111" t="s">
        <v>223</v>
      </c>
    </row>
    <row r="72" spans="2:11" ht="14.85" customHeight="1">
      <c r="B72" s="132">
        <f>ÜLDANDMED!H14</f>
        <v>2028</v>
      </c>
      <c r="C72" s="214" t="s">
        <v>224</v>
      </c>
      <c r="D72" s="614"/>
      <c r="E72" s="312"/>
      <c r="F72" s="373">
        <f>E72*kütus_bensiin_kaubik_2028/1000</f>
        <v>0</v>
      </c>
      <c r="G72" s="313"/>
      <c r="H72" s="374">
        <f>G72*transport_kaubik_bensiin_km_2028/1000</f>
        <v>0</v>
      </c>
      <c r="I72" s="314"/>
      <c r="J72" s="373">
        <f>I72*transport_kaubik_bensiin_tonnkm_2028/1000</f>
        <v>0</v>
      </c>
      <c r="K72" s="375">
        <f>SUM(F72+H72+J72)</f>
        <v>0</v>
      </c>
    </row>
    <row r="73" spans="2:11" ht="14.85" customHeight="1">
      <c r="B73" s="133"/>
      <c r="C73" s="116" t="s">
        <v>225</v>
      </c>
      <c r="D73" s="615"/>
      <c r="E73" s="312"/>
      <c r="F73" s="373">
        <f>E73*kütus_diisel_kaubik_2028/1000</f>
        <v>0</v>
      </c>
      <c r="G73" s="313"/>
      <c r="H73" s="374">
        <f>G73*transport_kaubik_diisel_km_2028/1000</f>
        <v>0</v>
      </c>
      <c r="I73" s="314"/>
      <c r="J73" s="373">
        <f>I73*transport_kaubik_diisel_tonnkm_2028/1000</f>
        <v>0</v>
      </c>
      <c r="K73" s="375">
        <f t="shared" ref="K73:K75" si="3">SUM(F73+H73+J73)</f>
        <v>0</v>
      </c>
    </row>
    <row r="74" spans="2:11" ht="14.85" customHeight="1">
      <c r="B74" s="133"/>
      <c r="C74" s="118" t="s">
        <v>226</v>
      </c>
      <c r="D74" s="615"/>
      <c r="E74" s="312"/>
      <c r="F74" s="373">
        <f>E74*kütus_taastuvelekter/1000</f>
        <v>0</v>
      </c>
      <c r="G74" s="313"/>
      <c r="H74" s="374">
        <f>G74*kütus_taastuvelekter/1000</f>
        <v>0</v>
      </c>
      <c r="I74" s="314"/>
      <c r="J74" s="373">
        <f>I74*kütus_taastuvelekter/1000</f>
        <v>0</v>
      </c>
      <c r="K74" s="375">
        <f t="shared" si="3"/>
        <v>0</v>
      </c>
    </row>
    <row r="75" spans="2:11" ht="14.85" customHeight="1">
      <c r="B75" s="133"/>
      <c r="C75" s="118" t="s">
        <v>227</v>
      </c>
      <c r="D75" s="615"/>
      <c r="E75" s="312"/>
      <c r="F75" s="373">
        <f>E75*segajääk_2028/1000</f>
        <v>0</v>
      </c>
      <c r="G75" s="313"/>
      <c r="H75" s="374">
        <f>G75*transport_kaubik_tavaelekter_km_2028/1000</f>
        <v>0</v>
      </c>
      <c r="I75" s="314"/>
      <c r="J75" s="373">
        <f>I75*transport_kaubik_tavaelekter_tonnkm_2028/1000</f>
        <v>0</v>
      </c>
      <c r="K75" s="375">
        <f t="shared" si="3"/>
        <v>0</v>
      </c>
    </row>
    <row r="76" spans="2:11" ht="14.85" customHeight="1">
      <c r="B76" s="133"/>
      <c r="C76" s="116" t="s">
        <v>228</v>
      </c>
      <c r="D76" s="615"/>
      <c r="E76" s="315"/>
      <c r="F76" s="373">
        <f>E76*kütus_diisel_buss_2028/1000</f>
        <v>0</v>
      </c>
      <c r="G76" s="316"/>
      <c r="H76" s="374">
        <f>G76*transport_buss_2028/1000</f>
        <v>0</v>
      </c>
      <c r="I76" s="607"/>
      <c r="J76" s="608"/>
      <c r="K76" s="370">
        <f>SUM(F76+H76)</f>
        <v>0</v>
      </c>
    </row>
    <row r="77" spans="2:11" ht="14.85" customHeight="1" thickBot="1">
      <c r="B77" s="115"/>
      <c r="C77" s="130" t="s">
        <v>229</v>
      </c>
      <c r="D77" s="616"/>
      <c r="E77" s="317"/>
      <c r="F77" s="376">
        <f>E77*kütus_diisel_kaubik_2028/1000</f>
        <v>0</v>
      </c>
      <c r="G77" s="318"/>
      <c r="H77" s="377">
        <f>IFERROR(G77*transport_väikebuss_2028/1000,0)</f>
        <v>0</v>
      </c>
      <c r="I77" s="609"/>
      <c r="J77" s="610"/>
      <c r="K77" s="378">
        <f>SUM(F77+H77)</f>
        <v>0</v>
      </c>
    </row>
    <row r="78" spans="2:11" ht="14.85" customHeight="1" thickBot="1">
      <c r="B78" s="131"/>
      <c r="C78" s="122" t="s">
        <v>230</v>
      </c>
      <c r="D78" s="605"/>
      <c r="E78" s="123"/>
      <c r="F78" s="124"/>
      <c r="G78" s="124"/>
      <c r="H78" s="124"/>
      <c r="I78" s="124"/>
      <c r="J78" s="125"/>
      <c r="K78" s="598">
        <f>SUM(D78,K72:K75,K76:K77)</f>
        <v>0</v>
      </c>
    </row>
    <row r="79" spans="2:11" ht="14.85" customHeight="1">
      <c r="C79" s="1"/>
      <c r="E79" s="1"/>
      <c r="F79" s="1"/>
      <c r="G79" s="1"/>
      <c r="H79" s="1"/>
      <c r="J79" s="1"/>
    </row>
    <row r="80" spans="2:11" ht="14.85" customHeight="1" thickBot="1">
      <c r="C80" s="1"/>
      <c r="E80" s="1"/>
      <c r="F80" s="1"/>
      <c r="G80" s="1"/>
      <c r="H80" s="1"/>
      <c r="J80" s="1"/>
    </row>
    <row r="81" spans="2:11" ht="14.85" customHeight="1" thickBot="1">
      <c r="D81" s="152" t="s">
        <v>210</v>
      </c>
      <c r="E81" s="644" t="s">
        <v>211</v>
      </c>
      <c r="F81" s="646"/>
      <c r="G81" s="644" t="s">
        <v>212</v>
      </c>
      <c r="H81" s="646"/>
      <c r="I81" s="644" t="s">
        <v>213</v>
      </c>
      <c r="J81" s="646"/>
    </row>
    <row r="82" spans="2:11" ht="14.85" customHeight="1">
      <c r="B82" s="653" t="s">
        <v>28</v>
      </c>
      <c r="C82" s="653" t="s">
        <v>52</v>
      </c>
      <c r="D82" s="661" t="s">
        <v>214</v>
      </c>
      <c r="E82" s="682" t="s">
        <v>147</v>
      </c>
      <c r="F82" s="685" t="s">
        <v>215</v>
      </c>
      <c r="G82" s="688" t="s">
        <v>182</v>
      </c>
      <c r="H82" s="685" t="s">
        <v>216</v>
      </c>
      <c r="I82" s="688" t="s">
        <v>182</v>
      </c>
      <c r="J82" s="685" t="s">
        <v>216</v>
      </c>
      <c r="K82" s="691" t="s">
        <v>217</v>
      </c>
    </row>
    <row r="83" spans="2:11" ht="14.85" customHeight="1">
      <c r="B83" s="665"/>
      <c r="C83" s="665"/>
      <c r="D83" s="681"/>
      <c r="E83" s="683"/>
      <c r="F83" s="686"/>
      <c r="G83" s="689"/>
      <c r="H83" s="686"/>
      <c r="I83" s="689"/>
      <c r="J83" s="686"/>
      <c r="K83" s="692"/>
    </row>
    <row r="84" spans="2:11" ht="14.85" customHeight="1">
      <c r="B84" s="665"/>
      <c r="C84" s="665"/>
      <c r="D84" s="681"/>
      <c r="E84" s="684"/>
      <c r="F84" s="687"/>
      <c r="G84" s="690"/>
      <c r="H84" s="687"/>
      <c r="I84" s="690"/>
      <c r="J84" s="687"/>
      <c r="K84" s="693"/>
    </row>
    <row r="85" spans="2:11" ht="14.85" customHeight="1" thickBot="1">
      <c r="B85" s="665"/>
      <c r="C85" s="654"/>
      <c r="D85" s="596" t="s">
        <v>187</v>
      </c>
      <c r="E85" s="107" t="s">
        <v>218</v>
      </c>
      <c r="F85" s="108" t="s">
        <v>219</v>
      </c>
      <c r="G85" s="109" t="s">
        <v>186</v>
      </c>
      <c r="H85" s="108" t="s">
        <v>220</v>
      </c>
      <c r="I85" s="107" t="s">
        <v>221</v>
      </c>
      <c r="J85" s="110" t="s">
        <v>222</v>
      </c>
      <c r="K85" s="111" t="s">
        <v>223</v>
      </c>
    </row>
    <row r="86" spans="2:11" ht="14.85" customHeight="1">
      <c r="B86" s="112">
        <f>ÜLDANDMED!I14</f>
        <v>2029</v>
      </c>
      <c r="C86" s="214" t="s">
        <v>224</v>
      </c>
      <c r="D86" s="614"/>
      <c r="E86" s="312"/>
      <c r="F86" s="373">
        <f>E86*kütus_bensiin_kaubik_2029/1000</f>
        <v>0</v>
      </c>
      <c r="G86" s="313"/>
      <c r="H86" s="374">
        <f>G86*transport_kaubik_bensiin_km_2029/1000</f>
        <v>0</v>
      </c>
      <c r="I86" s="314"/>
      <c r="J86" s="373">
        <f>I86*transport_kaubik_bensiin_tonnkm_2029/1000</f>
        <v>0</v>
      </c>
      <c r="K86" s="375">
        <f>SUM(F86+H86+J86)</f>
        <v>0</v>
      </c>
    </row>
    <row r="87" spans="2:11" ht="14.85" customHeight="1">
      <c r="B87" s="117"/>
      <c r="C87" s="116" t="s">
        <v>225</v>
      </c>
      <c r="D87" s="615"/>
      <c r="E87" s="312"/>
      <c r="F87" s="373">
        <f>E87*kütus_diisel_kaubik_2029/1000</f>
        <v>0</v>
      </c>
      <c r="G87" s="313"/>
      <c r="H87" s="374">
        <f>G87*transport_kaubik_diisel_km_2029/1000</f>
        <v>0</v>
      </c>
      <c r="I87" s="314"/>
      <c r="J87" s="373">
        <f>I87*transport_kaubik_diisel_tonnkm_2029/1000</f>
        <v>0</v>
      </c>
      <c r="K87" s="375">
        <f t="shared" ref="K87:K89" si="4">SUM(F87+H87+J87)</f>
        <v>0</v>
      </c>
    </row>
    <row r="88" spans="2:11" ht="14.85" customHeight="1">
      <c r="B88" s="117"/>
      <c r="C88" s="118" t="s">
        <v>226</v>
      </c>
      <c r="D88" s="615"/>
      <c r="E88" s="312"/>
      <c r="F88" s="373">
        <f>E88*kütus_taastuvelekter/1000</f>
        <v>0</v>
      </c>
      <c r="G88" s="313"/>
      <c r="H88" s="374">
        <f>G88*kütus_taastuvelekter/1000</f>
        <v>0</v>
      </c>
      <c r="I88" s="314"/>
      <c r="J88" s="373">
        <f>I88*kütus_taastuvelekter/1000</f>
        <v>0</v>
      </c>
      <c r="K88" s="375">
        <f t="shared" si="4"/>
        <v>0</v>
      </c>
    </row>
    <row r="89" spans="2:11" ht="14.85" customHeight="1">
      <c r="B89" s="117"/>
      <c r="C89" s="118" t="s">
        <v>227</v>
      </c>
      <c r="D89" s="615"/>
      <c r="E89" s="312"/>
      <c r="F89" s="373">
        <f>E89*segajääk_2029/1000</f>
        <v>0</v>
      </c>
      <c r="G89" s="313"/>
      <c r="H89" s="374">
        <f>G89*transport_kaubik_tavaelekter_km_2029/1000</f>
        <v>0</v>
      </c>
      <c r="I89" s="314"/>
      <c r="J89" s="373">
        <f>I89*transport_kaubik_tavaelekter_tonnkm_2029/1000</f>
        <v>0</v>
      </c>
      <c r="K89" s="375">
        <f t="shared" si="4"/>
        <v>0</v>
      </c>
    </row>
    <row r="90" spans="2:11" ht="14.85" customHeight="1">
      <c r="B90" s="117"/>
      <c r="C90" s="116" t="s">
        <v>228</v>
      </c>
      <c r="D90" s="615"/>
      <c r="E90" s="315"/>
      <c r="F90" s="373">
        <f>E90*kütus_diisel_buss_2029/1000</f>
        <v>0</v>
      </c>
      <c r="G90" s="316"/>
      <c r="H90" s="374">
        <f>G90*transport_buss_2029/1000</f>
        <v>0</v>
      </c>
      <c r="I90" s="607"/>
      <c r="J90" s="608"/>
      <c r="K90" s="370">
        <f>SUM(F90+H90)</f>
        <v>0</v>
      </c>
    </row>
    <row r="91" spans="2:11" ht="14.85" customHeight="1" thickBot="1">
      <c r="B91" s="115"/>
      <c r="C91" s="130" t="s">
        <v>229</v>
      </c>
      <c r="D91" s="616"/>
      <c r="E91" s="317"/>
      <c r="F91" s="376">
        <f>E91*kütus_diisel_kaubik_2029/1000</f>
        <v>0</v>
      </c>
      <c r="G91" s="318"/>
      <c r="H91" s="377">
        <f>IFERROR(G91*transport_väikebuss_2029/1000,0)</f>
        <v>0</v>
      </c>
      <c r="I91" s="609"/>
      <c r="J91" s="610"/>
      <c r="K91" s="378">
        <f>SUM(F91+H91)</f>
        <v>0</v>
      </c>
    </row>
    <row r="92" spans="2:11" ht="14.85" customHeight="1" thickBot="1">
      <c r="B92" s="131"/>
      <c r="C92" s="122" t="s">
        <v>230</v>
      </c>
      <c r="D92" s="605"/>
      <c r="E92" s="123"/>
      <c r="F92" s="124"/>
      <c r="G92" s="124"/>
      <c r="H92" s="124"/>
      <c r="I92" s="124"/>
      <c r="J92" s="125"/>
      <c r="K92" s="598">
        <f>SUM(D92,K86:K89,K90:K91)</f>
        <v>0</v>
      </c>
    </row>
    <row r="93" spans="2:11" ht="14.85" customHeight="1">
      <c r="C93" s="1"/>
      <c r="E93" s="1"/>
      <c r="F93" s="1"/>
      <c r="G93" s="1"/>
      <c r="H93" s="1"/>
      <c r="J93" s="1"/>
    </row>
    <row r="94" spans="2:11" ht="14.85" customHeight="1" thickBot="1">
      <c r="C94" s="1"/>
      <c r="E94" s="1"/>
      <c r="F94" s="1"/>
      <c r="G94" s="1"/>
      <c r="H94" s="1"/>
      <c r="J94" s="1"/>
    </row>
    <row r="95" spans="2:11" ht="14.85" customHeight="1" thickBot="1">
      <c r="D95" s="152" t="s">
        <v>210</v>
      </c>
      <c r="E95" s="644" t="s">
        <v>211</v>
      </c>
      <c r="F95" s="646"/>
      <c r="G95" s="644" t="s">
        <v>212</v>
      </c>
      <c r="H95" s="646"/>
      <c r="I95" s="644" t="s">
        <v>213</v>
      </c>
      <c r="J95" s="646"/>
    </row>
    <row r="96" spans="2:11" ht="14.85" customHeight="1">
      <c r="B96" s="653" t="s">
        <v>28</v>
      </c>
      <c r="C96" s="653" t="s">
        <v>52</v>
      </c>
      <c r="D96" s="661" t="s">
        <v>214</v>
      </c>
      <c r="E96" s="682" t="s">
        <v>147</v>
      </c>
      <c r="F96" s="685" t="s">
        <v>215</v>
      </c>
      <c r="G96" s="688" t="s">
        <v>182</v>
      </c>
      <c r="H96" s="685" t="s">
        <v>216</v>
      </c>
      <c r="I96" s="688" t="s">
        <v>182</v>
      </c>
      <c r="J96" s="685" t="s">
        <v>216</v>
      </c>
      <c r="K96" s="691" t="s">
        <v>217</v>
      </c>
    </row>
    <row r="97" spans="2:11" ht="14.85" customHeight="1">
      <c r="B97" s="665"/>
      <c r="C97" s="665"/>
      <c r="D97" s="681"/>
      <c r="E97" s="683"/>
      <c r="F97" s="686"/>
      <c r="G97" s="689"/>
      <c r="H97" s="686"/>
      <c r="I97" s="689"/>
      <c r="J97" s="686"/>
      <c r="K97" s="692"/>
    </row>
    <row r="98" spans="2:11" ht="14.85" customHeight="1">
      <c r="B98" s="665"/>
      <c r="C98" s="665"/>
      <c r="D98" s="681"/>
      <c r="E98" s="684"/>
      <c r="F98" s="687"/>
      <c r="G98" s="690"/>
      <c r="H98" s="687"/>
      <c r="I98" s="690"/>
      <c r="J98" s="687"/>
      <c r="K98" s="693"/>
    </row>
    <row r="99" spans="2:11" ht="14.85" customHeight="1" thickBot="1">
      <c r="B99" s="665"/>
      <c r="C99" s="654"/>
      <c r="D99" s="596" t="s">
        <v>187</v>
      </c>
      <c r="E99" s="107" t="s">
        <v>218</v>
      </c>
      <c r="F99" s="108" t="s">
        <v>219</v>
      </c>
      <c r="G99" s="109" t="s">
        <v>186</v>
      </c>
      <c r="H99" s="108" t="s">
        <v>220</v>
      </c>
      <c r="I99" s="107" t="s">
        <v>221</v>
      </c>
      <c r="J99" s="110" t="s">
        <v>222</v>
      </c>
      <c r="K99" s="111" t="s">
        <v>223</v>
      </c>
    </row>
    <row r="100" spans="2:11" ht="14.85" customHeight="1">
      <c r="B100" s="132">
        <f>ÜLDANDMED!J14</f>
        <v>2030</v>
      </c>
      <c r="C100" s="214" t="s">
        <v>224</v>
      </c>
      <c r="D100" s="614"/>
      <c r="E100" s="312"/>
      <c r="F100" s="373">
        <f>E100*kütus_bensiin_kaubik_2030/1000</f>
        <v>0</v>
      </c>
      <c r="G100" s="313"/>
      <c r="H100" s="374">
        <f>G100*transport_kaubik_bensiin_km_2030/1000</f>
        <v>0</v>
      </c>
      <c r="I100" s="314"/>
      <c r="J100" s="373">
        <f>I100*transport_kaubik_bensiin_tonnkm_2030/1000</f>
        <v>0</v>
      </c>
      <c r="K100" s="375">
        <f>SUM(F100+H100+J100)</f>
        <v>0</v>
      </c>
    </row>
    <row r="101" spans="2:11" ht="14.85" customHeight="1">
      <c r="B101" s="133"/>
      <c r="C101" s="116" t="s">
        <v>225</v>
      </c>
      <c r="D101" s="615"/>
      <c r="E101" s="312"/>
      <c r="F101" s="373">
        <f>E101*kütus_diisel_kaubik_2030/1000</f>
        <v>0</v>
      </c>
      <c r="G101" s="313"/>
      <c r="H101" s="374">
        <f>G101*transport_kaubik_diisel_km_2030/1000</f>
        <v>0</v>
      </c>
      <c r="I101" s="314"/>
      <c r="J101" s="373">
        <f>I101*transport_kaubik_diisel_tonnkm_2030/1000</f>
        <v>0</v>
      </c>
      <c r="K101" s="375">
        <f t="shared" ref="K101:K103" si="5">SUM(F101+H101+J101)</f>
        <v>0</v>
      </c>
    </row>
    <row r="102" spans="2:11" ht="14.85" customHeight="1">
      <c r="B102" s="133"/>
      <c r="C102" s="118" t="s">
        <v>226</v>
      </c>
      <c r="D102" s="615"/>
      <c r="E102" s="312"/>
      <c r="F102" s="373">
        <f>E102*kütus_taastuvelekter/1000</f>
        <v>0</v>
      </c>
      <c r="G102" s="313"/>
      <c r="H102" s="374">
        <f>G102*kütus_taastuvelekter/1000</f>
        <v>0</v>
      </c>
      <c r="I102" s="314"/>
      <c r="J102" s="373">
        <f>I102*kütus_taastuvelekter/1000</f>
        <v>0</v>
      </c>
      <c r="K102" s="375">
        <f t="shared" si="5"/>
        <v>0</v>
      </c>
    </row>
    <row r="103" spans="2:11" ht="14.85" customHeight="1">
      <c r="B103" s="133"/>
      <c r="C103" s="118" t="s">
        <v>227</v>
      </c>
      <c r="D103" s="615"/>
      <c r="E103" s="312"/>
      <c r="F103" s="373">
        <f>E103*segajääk_2030/1000</f>
        <v>0</v>
      </c>
      <c r="G103" s="313"/>
      <c r="H103" s="374">
        <f>G103*transport_kaubik_tavaelekter_km_2030/1000</f>
        <v>0</v>
      </c>
      <c r="I103" s="314"/>
      <c r="J103" s="373">
        <f>I103*transport_kaubik_tavaelekter_tonnkm_2030/1000</f>
        <v>0</v>
      </c>
      <c r="K103" s="375">
        <f t="shared" si="5"/>
        <v>0</v>
      </c>
    </row>
    <row r="104" spans="2:11" ht="14.85" customHeight="1">
      <c r="B104" s="133"/>
      <c r="C104" s="116" t="s">
        <v>228</v>
      </c>
      <c r="D104" s="615"/>
      <c r="E104" s="315"/>
      <c r="F104" s="373">
        <f>E104*kütus_diisel_buss_2030/1000</f>
        <v>0</v>
      </c>
      <c r="G104" s="316"/>
      <c r="H104" s="374">
        <f>G104*transport_buss_2030/1000</f>
        <v>0</v>
      </c>
      <c r="I104" s="607"/>
      <c r="J104" s="608"/>
      <c r="K104" s="370">
        <f>SUM(F104+H104)</f>
        <v>0</v>
      </c>
    </row>
    <row r="105" spans="2:11" ht="14.85" customHeight="1" thickBot="1">
      <c r="B105" s="115"/>
      <c r="C105" s="130" t="s">
        <v>229</v>
      </c>
      <c r="D105" s="616"/>
      <c r="E105" s="317"/>
      <c r="F105" s="376">
        <f>E105*kütus_diisel_kaubik_2030/1000</f>
        <v>0</v>
      </c>
      <c r="G105" s="318"/>
      <c r="H105" s="377">
        <f>IFERROR(G105*transport_väikebuss_2030/1000,0)</f>
        <v>0</v>
      </c>
      <c r="I105" s="609"/>
      <c r="J105" s="610"/>
      <c r="K105" s="378">
        <f>SUM(F105+H105)</f>
        <v>0</v>
      </c>
    </row>
    <row r="106" spans="2:11" ht="14.85" customHeight="1" thickBot="1">
      <c r="B106" s="131"/>
      <c r="C106" s="122" t="s">
        <v>230</v>
      </c>
      <c r="D106" s="605"/>
      <c r="E106" s="123"/>
      <c r="F106" s="124"/>
      <c r="G106" s="124"/>
      <c r="H106" s="124"/>
      <c r="I106" s="124"/>
      <c r="J106" s="125"/>
      <c r="K106" s="598">
        <f>SUM(D106,K100:K103,K104:K105)</f>
        <v>0</v>
      </c>
    </row>
    <row r="110" spans="2:11" customFormat="1" ht="14.85" customHeight="1"/>
  </sheetData>
  <mergeCells count="94">
    <mergeCell ref="E95:F95"/>
    <mergeCell ref="G95:H95"/>
    <mergeCell ref="I95:J95"/>
    <mergeCell ref="I53:J53"/>
    <mergeCell ref="E67:F67"/>
    <mergeCell ref="G67:H67"/>
    <mergeCell ref="I67:J67"/>
    <mergeCell ref="E81:F81"/>
    <mergeCell ref="G81:H81"/>
    <mergeCell ref="I81:J81"/>
    <mergeCell ref="E25:F25"/>
    <mergeCell ref="G25:H25"/>
    <mergeCell ref="I25:J25"/>
    <mergeCell ref="E39:F39"/>
    <mergeCell ref="G39:H39"/>
    <mergeCell ref="I39:J39"/>
    <mergeCell ref="E26:E28"/>
    <mergeCell ref="F26:F28"/>
    <mergeCell ref="G26:G28"/>
    <mergeCell ref="H26:H28"/>
    <mergeCell ref="K96:K98"/>
    <mergeCell ref="K54:K56"/>
    <mergeCell ref="H82:H84"/>
    <mergeCell ref="I82:I84"/>
    <mergeCell ref="H96:H98"/>
    <mergeCell ref="I96:I98"/>
    <mergeCell ref="J96:J98"/>
    <mergeCell ref="H68:H70"/>
    <mergeCell ref="I68:I70"/>
    <mergeCell ref="J68:J70"/>
    <mergeCell ref="K68:K70"/>
    <mergeCell ref="I54:I56"/>
    <mergeCell ref="J54:J56"/>
    <mergeCell ref="D26:D28"/>
    <mergeCell ref="D40:D42"/>
    <mergeCell ref="B26:B29"/>
    <mergeCell ref="C26:C29"/>
    <mergeCell ref="D68:D70"/>
    <mergeCell ref="B96:B99"/>
    <mergeCell ref="C96:C99"/>
    <mergeCell ref="E96:E98"/>
    <mergeCell ref="F96:F98"/>
    <mergeCell ref="G96:G98"/>
    <mergeCell ref="D96:D98"/>
    <mergeCell ref="B82:B85"/>
    <mergeCell ref="C82:C85"/>
    <mergeCell ref="J82:J84"/>
    <mergeCell ref="K82:K84"/>
    <mergeCell ref="B68:B71"/>
    <mergeCell ref="C68:C71"/>
    <mergeCell ref="E68:E70"/>
    <mergeCell ref="F68:F70"/>
    <mergeCell ref="G68:G70"/>
    <mergeCell ref="E82:E84"/>
    <mergeCell ref="F82:F84"/>
    <mergeCell ref="G82:G84"/>
    <mergeCell ref="D82:D84"/>
    <mergeCell ref="H40:H42"/>
    <mergeCell ref="B54:B57"/>
    <mergeCell ref="C54:C57"/>
    <mergeCell ref="E54:E56"/>
    <mergeCell ref="F54:F56"/>
    <mergeCell ref="G54:G56"/>
    <mergeCell ref="H54:H56"/>
    <mergeCell ref="B40:B43"/>
    <mergeCell ref="C40:C43"/>
    <mergeCell ref="E40:E42"/>
    <mergeCell ref="F40:F42"/>
    <mergeCell ref="G40:G42"/>
    <mergeCell ref="D54:D56"/>
    <mergeCell ref="E53:F53"/>
    <mergeCell ref="G53:H53"/>
    <mergeCell ref="K40:K42"/>
    <mergeCell ref="I40:I42"/>
    <mergeCell ref="J40:J42"/>
    <mergeCell ref="K12:K14"/>
    <mergeCell ref="J26:J28"/>
    <mergeCell ref="K26:K28"/>
    <mergeCell ref="I26:I28"/>
    <mergeCell ref="E12:E14"/>
    <mergeCell ref="F12:F14"/>
    <mergeCell ref="G12:G14"/>
    <mergeCell ref="H12:H14"/>
    <mergeCell ref="B3:K3"/>
    <mergeCell ref="B4:K4"/>
    <mergeCell ref="E11:F11"/>
    <mergeCell ref="I11:J11"/>
    <mergeCell ref="G11:H11"/>
    <mergeCell ref="I12:I14"/>
    <mergeCell ref="J12:J14"/>
    <mergeCell ref="D12:D14"/>
    <mergeCell ref="B12:B15"/>
    <mergeCell ref="C12:C15"/>
    <mergeCell ref="B5:K5"/>
  </mergeCells>
  <pageMargins left="0.70866141732283472" right="0.70866141732283472" top="0.74803149606299213" bottom="0.74803149606299213" header="0.31496062992125984" footer="0.31496062992125984"/>
  <pageSetup scale="6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BDA35-D38B-46BF-8216-E7F8CB53C5B8}">
  <sheetPr>
    <tabColor rgb="FFFF4800"/>
  </sheetPr>
  <dimension ref="B2:J21"/>
  <sheetViews>
    <sheetView showGridLines="0" zoomScaleNormal="100" zoomScalePageLayoutView="120" workbookViewId="0">
      <pane xSplit="1" ySplit="2" topLeftCell="B3" activePane="bottomRight" state="frozen"/>
      <selection pane="bottomRight" activeCell="K14" sqref="K14"/>
      <selection pane="bottomLeft" activeCell="A3" sqref="A3"/>
      <selection pane="topRight" activeCell="B1" sqref="B1"/>
    </sheetView>
  </sheetViews>
  <sheetFormatPr defaultColWidth="9.140625" defaultRowHeight="13.5"/>
  <cols>
    <col min="1" max="1" width="2.5703125" style="10" customWidth="1"/>
    <col min="2" max="2" width="51.28515625" style="21" customWidth="1"/>
    <col min="3" max="3" width="9.42578125" style="7" bestFit="1" customWidth="1"/>
    <col min="4" max="4" width="10.140625" style="21" customWidth="1"/>
    <col min="5" max="16384" width="9.140625" style="10"/>
  </cols>
  <sheetData>
    <row r="2" spans="2:10" ht="18.75">
      <c r="B2" s="457" t="s">
        <v>232</v>
      </c>
    </row>
    <row r="3" spans="2:10" ht="18">
      <c r="B3" s="459" t="s">
        <v>233</v>
      </c>
      <c r="C3" s="4"/>
      <c r="D3" s="458"/>
      <c r="E3" s="1"/>
      <c r="F3" s="1"/>
      <c r="G3" s="1"/>
      <c r="H3" s="1"/>
    </row>
    <row r="4" spans="2:10" ht="15">
      <c r="B4" s="459"/>
      <c r="C4" s="4"/>
      <c r="D4" s="458"/>
      <c r="E4" s="1"/>
      <c r="F4" s="1"/>
      <c r="G4" s="1"/>
      <c r="H4" s="1"/>
    </row>
    <row r="5" spans="2:10" ht="15">
      <c r="B5" s="479" t="s">
        <v>234</v>
      </c>
      <c r="C5" s="480"/>
      <c r="D5" s="481"/>
      <c r="E5" s="482"/>
      <c r="F5" s="482"/>
      <c r="G5" s="482"/>
      <c r="H5" s="482"/>
      <c r="I5" s="483"/>
      <c r="J5" s="484"/>
    </row>
    <row r="6" spans="2:10" ht="191.25" customHeight="1">
      <c r="B6" s="694" t="s">
        <v>235</v>
      </c>
      <c r="C6" s="648"/>
      <c r="D6" s="648"/>
      <c r="E6" s="648"/>
      <c r="F6" s="648"/>
      <c r="G6" s="648"/>
      <c r="H6" s="648"/>
      <c r="I6" s="648"/>
      <c r="J6" s="695"/>
    </row>
    <row r="7" spans="2:10" ht="15">
      <c r="B7" s="485"/>
      <c r="J7" s="486"/>
    </row>
    <row r="8" spans="2:10">
      <c r="B8" s="468" t="s">
        <v>236</v>
      </c>
      <c r="C8" s="469">
        <f>ÜLDANDMED!D14</f>
        <v>2024</v>
      </c>
      <c r="D8" s="469">
        <f>ÜLDANDMED!E14</f>
        <v>2025</v>
      </c>
      <c r="E8" s="469">
        <f>ÜLDANDMED!F14</f>
        <v>2026</v>
      </c>
      <c r="F8" s="469">
        <f>ÜLDANDMED!G14</f>
        <v>2027</v>
      </c>
      <c r="G8" s="469">
        <f>ÜLDANDMED!H14</f>
        <v>2028</v>
      </c>
      <c r="H8" s="469">
        <f>ÜLDANDMED!I14</f>
        <v>2029</v>
      </c>
      <c r="I8" s="469">
        <f>ÜLDANDMED!J14</f>
        <v>2030</v>
      </c>
      <c r="J8" s="486"/>
    </row>
    <row r="9" spans="2:10" s="462" customFormat="1">
      <c r="B9" s="528" t="s">
        <v>237</v>
      </c>
      <c r="C9" s="529" t="e">
        <f>('KHG JALAJÄLG KOOND'!C36/ÜLDANDMED!D20)*1000</f>
        <v>#DIV/0!</v>
      </c>
      <c r="D9" s="529" t="e">
        <f>('KHG JALAJÄLG KOOND'!D36/ÜLDANDMED!E20)*1000</f>
        <v>#DIV/0!</v>
      </c>
      <c r="E9" s="529" t="e">
        <f>('KHG JALAJÄLG KOOND'!E36/ÜLDANDMED!F20)*1000</f>
        <v>#DIV/0!</v>
      </c>
      <c r="F9" s="529" t="e">
        <f>('KHG JALAJÄLG KOOND'!F36/ÜLDANDMED!G20)*1000</f>
        <v>#DIV/0!</v>
      </c>
      <c r="G9" s="529" t="e">
        <f>('KHG JALAJÄLG KOOND'!G36/ÜLDANDMED!H20)*1000</f>
        <v>#DIV/0!</v>
      </c>
      <c r="H9" s="529" t="e">
        <f>('KHG JALAJÄLG KOOND'!H36/ÜLDANDMED!I20)*1000</f>
        <v>#DIV/0!</v>
      </c>
      <c r="I9" s="529" t="e">
        <f>('KHG JALAJÄLG KOOND'!I36/ÜLDANDMED!J20)*1000</f>
        <v>#DIV/0!</v>
      </c>
      <c r="J9" s="487"/>
    </row>
    <row r="10" spans="2:10" s="462" customFormat="1" ht="15">
      <c r="B10" s="537"/>
      <c r="C10" s="538"/>
      <c r="D10" s="538"/>
      <c r="E10" s="538"/>
      <c r="F10" s="538"/>
      <c r="G10" s="538"/>
      <c r="H10" s="538"/>
      <c r="I10" s="538"/>
      <c r="J10" s="488"/>
    </row>
    <row r="11" spans="2:10" s="462" customFormat="1" ht="15">
      <c r="B11" s="1"/>
      <c r="C11" s="1"/>
      <c r="D11" s="1"/>
      <c r="E11" s="1"/>
      <c r="F11" s="1"/>
      <c r="G11" s="1"/>
      <c r="H11" s="1"/>
      <c r="I11" s="1"/>
    </row>
    <row r="12" spans="2:10" s="1" customFormat="1" ht="15"/>
    <row r="13" spans="2:10" s="1" customFormat="1" ht="15">
      <c r="B13" s="475" t="s">
        <v>238</v>
      </c>
      <c r="C13" s="466"/>
      <c r="D13" s="466"/>
      <c r="E13" s="466"/>
      <c r="F13" s="466"/>
      <c r="G13" s="466"/>
      <c r="H13" s="466"/>
      <c r="I13" s="466"/>
      <c r="J13" s="476"/>
    </row>
    <row r="14" spans="2:10" s="1" customFormat="1" ht="160.5" customHeight="1">
      <c r="B14" s="647" t="s">
        <v>239</v>
      </c>
      <c r="C14" s="642"/>
      <c r="D14" s="642"/>
      <c r="E14" s="642"/>
      <c r="F14" s="642"/>
      <c r="G14" s="642"/>
      <c r="H14" s="642"/>
      <c r="I14" s="642"/>
      <c r="J14" s="696"/>
    </row>
    <row r="15" spans="2:10" s="1" customFormat="1" ht="13.5" customHeight="1">
      <c r="B15" s="78"/>
      <c r="J15" s="251"/>
    </row>
    <row r="16" spans="2:10" s="1" customFormat="1" ht="15">
      <c r="B16" s="474" t="s">
        <v>240</v>
      </c>
      <c r="C16" s="467">
        <f>ÜLDANDMED!D14</f>
        <v>2024</v>
      </c>
      <c r="D16" s="467">
        <f>ÜLDANDMED!E14</f>
        <v>2025</v>
      </c>
      <c r="E16" s="467">
        <f>ÜLDANDMED!F14</f>
        <v>2026</v>
      </c>
      <c r="F16" s="467">
        <f>ÜLDANDMED!G14</f>
        <v>2027</v>
      </c>
      <c r="G16" s="467">
        <f>ÜLDANDMED!H14</f>
        <v>2028</v>
      </c>
      <c r="H16" s="467">
        <f>ÜLDANDMED!I14</f>
        <v>2029</v>
      </c>
      <c r="I16" s="467">
        <f>ÜLDANDMED!J14</f>
        <v>2030</v>
      </c>
      <c r="J16" s="251"/>
    </row>
    <row r="17" spans="2:10" s="1" customFormat="1" ht="15">
      <c r="B17" s="530" t="s">
        <v>241</v>
      </c>
      <c r="C17" s="625" t="e">
        <f>('KHG JALAJÄLG KOOND'!C37/ÜLDANDMED!D18/365/10)*1000</f>
        <v>#DIV/0!</v>
      </c>
      <c r="D17" s="531" t="e">
        <f>('KHG JALAJÄLG KOOND'!D37/ÜLDANDMED!E18/365/10)*1000</f>
        <v>#DIV/0!</v>
      </c>
      <c r="E17" s="531" t="e">
        <f>('KHG JALAJÄLG KOOND'!E37/ÜLDANDMED!F18/365/10)*1000</f>
        <v>#DIV/0!</v>
      </c>
      <c r="F17" s="531" t="e">
        <f>('KHG JALAJÄLG KOOND'!F37/ÜLDANDMED!G18/365/10)*1000</f>
        <v>#DIV/0!</v>
      </c>
      <c r="G17" s="531" t="e">
        <f>('KHG JALAJÄLG KOOND'!G37/ÜLDANDMED!H18/365/10)*1000</f>
        <v>#DIV/0!</v>
      </c>
      <c r="H17" s="531" t="e">
        <f>('KHG JALAJÄLG KOOND'!H37/ÜLDANDMED!I18/365/10)*1000</f>
        <v>#DIV/0!</v>
      </c>
      <c r="I17" s="531" t="e">
        <f>('KHG JALAJÄLG KOOND'!I37/ÜLDANDMED!J18/365/10)*1000</f>
        <v>#DIV/0!</v>
      </c>
      <c r="J17" s="251"/>
    </row>
    <row r="18" spans="2:10" s="1" customFormat="1" ht="15">
      <c r="B18" s="477"/>
      <c r="C18" s="446"/>
      <c r="D18" s="446"/>
      <c r="E18" s="446"/>
      <c r="F18" s="446"/>
      <c r="G18" s="446"/>
      <c r="H18" s="446"/>
      <c r="I18" s="446"/>
      <c r="J18" s="478"/>
    </row>
    <row r="19" spans="2:10" s="1" customFormat="1" ht="15"/>
    <row r="20" spans="2:10" s="1" customFormat="1" ht="15"/>
    <row r="21" spans="2:10" ht="15">
      <c r="B21" s="10"/>
      <c r="C21" s="1"/>
      <c r="D21" s="1"/>
      <c r="E21" s="1"/>
    </row>
  </sheetData>
  <mergeCells count="2">
    <mergeCell ref="B6:J6"/>
    <mergeCell ref="B14:J1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4800"/>
  </sheetPr>
  <dimension ref="B2:AH47"/>
  <sheetViews>
    <sheetView showGridLines="0" zoomScaleNormal="100" zoomScaleSheetLayoutView="100" workbookViewId="0">
      <pane xSplit="1" ySplit="2" topLeftCell="C41" activePane="bottomRight" state="frozen"/>
      <selection pane="bottomRight" activeCell="B37" sqref="B37"/>
      <selection pane="bottomLeft" activeCell="N14" sqref="N14"/>
      <selection pane="topRight" activeCell="N14" sqref="N14"/>
    </sheetView>
  </sheetViews>
  <sheetFormatPr defaultColWidth="9.140625" defaultRowHeight="15"/>
  <cols>
    <col min="1" max="1" width="2.5703125" style="1" customWidth="1"/>
    <col min="2" max="2" width="58" style="1" customWidth="1"/>
    <col min="3" max="7" width="9.42578125" style="62" customWidth="1"/>
    <col min="8" max="8" width="9.42578125" style="63" customWidth="1"/>
    <col min="9" max="9" width="9.42578125" style="63"/>
    <col min="10" max="11" width="9.140625" style="1"/>
    <col min="12" max="12" width="8.5703125" style="1" customWidth="1"/>
    <col min="13" max="14" width="9.140625" style="1"/>
    <col min="15" max="15" width="10" style="1" bestFit="1" customWidth="1"/>
    <col min="16" max="25" width="9.140625" style="1"/>
    <col min="26" max="26" width="24.85546875" style="1" customWidth="1"/>
    <col min="27" max="16384" width="9.140625" style="1"/>
  </cols>
  <sheetData>
    <row r="2" spans="2:11" ht="18.75">
      <c r="B2" s="3" t="s">
        <v>242</v>
      </c>
    </row>
    <row r="3" spans="2:11" ht="54" customHeight="1">
      <c r="B3" s="650" t="s">
        <v>243</v>
      </c>
      <c r="C3" s="650"/>
      <c r="D3" s="650"/>
      <c r="E3" s="650"/>
      <c r="F3" s="650"/>
      <c r="G3" s="650"/>
      <c r="H3" s="650"/>
      <c r="I3" s="650"/>
    </row>
    <row r="4" spans="2:11">
      <c r="B4" s="65"/>
      <c r="C4" s="66"/>
      <c r="D4" s="66"/>
    </row>
    <row r="5" spans="2:11" ht="15.75">
      <c r="B5" s="67" t="s">
        <v>244</v>
      </c>
      <c r="C5" s="68"/>
    </row>
    <row r="6" spans="2:11" ht="16.5" thickBot="1">
      <c r="B6" s="69"/>
      <c r="C6" s="68"/>
      <c r="D6" s="68"/>
      <c r="F6" s="70"/>
    </row>
    <row r="7" spans="2:11" ht="16.5" thickBot="1">
      <c r="B7" s="71"/>
      <c r="C7" s="72">
        <f>ÜLDANDMED!D14</f>
        <v>2024</v>
      </c>
      <c r="D7" s="72">
        <f>ÜLDANDMED!E14</f>
        <v>2025</v>
      </c>
      <c r="E7" s="72">
        <f>ÜLDANDMED!F14</f>
        <v>2026</v>
      </c>
      <c r="F7" s="72">
        <f>ÜLDANDMED!G14</f>
        <v>2027</v>
      </c>
      <c r="G7" s="72">
        <f>ÜLDANDMED!H14</f>
        <v>2028</v>
      </c>
      <c r="H7" s="72">
        <f>ÜLDANDMED!I14</f>
        <v>2029</v>
      </c>
      <c r="I7" s="72">
        <f>ÜLDANDMED!J14</f>
        <v>2030</v>
      </c>
    </row>
    <row r="8" spans="2:11">
      <c r="B8" s="498" t="s">
        <v>245</v>
      </c>
      <c r="C8" s="499">
        <f>'KHG_OMA SÕIDUKID M1'!E22</f>
        <v>0</v>
      </c>
      <c r="D8" s="499">
        <f>'KHG_OMA SÕIDUKID M1'!E35</f>
        <v>0</v>
      </c>
      <c r="E8" s="499">
        <f>'KHG_OMA SÕIDUKID M1'!E48</f>
        <v>0</v>
      </c>
      <c r="F8" s="499">
        <f>'KHG_OMA SÕIDUKID M1'!E61</f>
        <v>0</v>
      </c>
      <c r="G8" s="499">
        <f>'KHG_OMA SÕIDUKID M1'!E74</f>
        <v>0</v>
      </c>
      <c r="H8" s="499">
        <f>'KHG_OMA SÕIDUKID M1'!E87</f>
        <v>0</v>
      </c>
      <c r="I8" s="499">
        <f>'KHG_OMA SÕIDUKID M1'!E100</f>
        <v>0</v>
      </c>
    </row>
    <row r="9" spans="2:11" ht="15.75" thickBot="1">
      <c r="B9" s="500" t="s">
        <v>246</v>
      </c>
      <c r="C9" s="501">
        <f>'KHG_HAJUSHEITMED M1'!F27</f>
        <v>0</v>
      </c>
      <c r="D9" s="501">
        <f>'KHG_HAJUSHEITMED M1'!F46</f>
        <v>0</v>
      </c>
      <c r="E9" s="501">
        <f>'KHG_HAJUSHEITMED M1'!F65</f>
        <v>0</v>
      </c>
      <c r="F9" s="501">
        <f>'KHG_HAJUSHEITMED M1'!F84</f>
        <v>0</v>
      </c>
      <c r="G9" s="501">
        <f>'KHG_HAJUSHEITMED M1'!F103</f>
        <v>0</v>
      </c>
      <c r="H9" s="501">
        <f>'KHG_HAJUSHEITMED M1'!F122</f>
        <v>0</v>
      </c>
      <c r="I9" s="501">
        <f>'KHG_HAJUSHEITMED M1'!F141</f>
        <v>0</v>
      </c>
    </row>
    <row r="10" spans="2:11" ht="15.75" thickBot="1">
      <c r="B10" s="73" t="s">
        <v>247</v>
      </c>
      <c r="C10" s="74">
        <f t="shared" ref="C10:I10" si="0">SUM(C8+C9)</f>
        <v>0</v>
      </c>
      <c r="D10" s="74">
        <f t="shared" si="0"/>
        <v>0</v>
      </c>
      <c r="E10" s="74">
        <f t="shared" si="0"/>
        <v>0</v>
      </c>
      <c r="F10" s="74">
        <f t="shared" si="0"/>
        <v>0</v>
      </c>
      <c r="G10" s="74">
        <f t="shared" si="0"/>
        <v>0</v>
      </c>
      <c r="H10" s="74">
        <f t="shared" si="0"/>
        <v>0</v>
      </c>
      <c r="I10" s="74">
        <f t="shared" si="0"/>
        <v>0</v>
      </c>
    </row>
    <row r="11" spans="2:11" ht="16.5" thickBot="1">
      <c r="B11" s="75"/>
      <c r="I11" s="76"/>
      <c r="K11" s="77"/>
    </row>
    <row r="12" spans="2:11" ht="15.75" thickBot="1">
      <c r="B12" s="78"/>
      <c r="C12" s="72">
        <f>ÜLDANDMED!D14</f>
        <v>2024</v>
      </c>
      <c r="D12" s="72">
        <f>ÜLDANDMED!E14</f>
        <v>2025</v>
      </c>
      <c r="E12" s="72">
        <f>ÜLDANDMED!F14</f>
        <v>2026</v>
      </c>
      <c r="F12" s="72">
        <f>ÜLDANDMED!G14</f>
        <v>2027</v>
      </c>
      <c r="G12" s="72">
        <f>ÜLDANDMED!H14</f>
        <v>2028</v>
      </c>
      <c r="H12" s="72">
        <f>ÜLDANDMED!I14</f>
        <v>2029</v>
      </c>
      <c r="I12" s="72">
        <f>ÜLDANDMED!J14</f>
        <v>2030</v>
      </c>
      <c r="K12" s="77"/>
    </row>
    <row r="13" spans="2:11">
      <c r="B13" s="512" t="s">
        <v>248</v>
      </c>
      <c r="C13" s="513">
        <f>(ELEKTER!P16*(1-ELEKTER!Q16))*segajääk_2024/1000</f>
        <v>0</v>
      </c>
      <c r="D13" s="514">
        <f>(ELEKTER!P18*(1-ELEKTER!Q18))*segajääk_2025/1000</f>
        <v>0</v>
      </c>
      <c r="E13" s="514">
        <f>(ELEKTER!P20*(1-ELEKTER!Q20))*segajääk_2026/1000</f>
        <v>0</v>
      </c>
      <c r="F13" s="514">
        <f>(ELEKTER!P22*(1-ELEKTER!Q22))*segajääk_2027/1000</f>
        <v>0</v>
      </c>
      <c r="G13" s="514">
        <f>(ELEKTER!P24*(1-ELEKTER!Q24))*segajääk_2028/1000</f>
        <v>0</v>
      </c>
      <c r="H13" s="514">
        <f>(ELEKTER!P26*(1-ELEKTER!Q26))*segajääk_2029/1000</f>
        <v>0</v>
      </c>
      <c r="I13" s="514">
        <f>(ELEKTER!P28*(1-ELEKTER!Q28))*segajääk_2030/1000</f>
        <v>0</v>
      </c>
    </row>
    <row r="14" spans="2:11">
      <c r="B14" s="515" t="s">
        <v>249</v>
      </c>
      <c r="C14" s="516">
        <f>IF(ISBLANK(SOOJUS!Q16),SOOJUS!P16*(IF(SOOJUS!S16="Biomass/puit",lokaalküte_biomass_2024,IF(SOOJUS!S16="Freesturvas",lokaalküte_freesturvas_2024,IF(SOOJUS!S16="kütteõli",lokaalküte_kütteõli_2024,IF(SOOJUS!S16="maagaas",lokaalküte_maagaas_2024,IF(SOOJUS!S16="põlevkiviõli",lokaalküte_põlevkiviõli_2024))))))/1000,SOOJUS!P16*SOOJUS!R16/1000)</f>
        <v>0</v>
      </c>
      <c r="D14" s="517">
        <f>IF(ISBLANK(SOOJUS!Q19),(SOOJUS!P19*(IF(SOOJUS!S19="biomass/puit",lokaalküte_biomass_2025,IF(SOOJUS!S19="freesturvas",lokaalküte_freesturvas_2025,IF(SOOJUS!S19="kütteõli",lokaalküte_kütteõli_2025,IF(SOOJUS!S19="maagaas",lokaalküte_maagaas_2025,IF(SOOJUS!S19="põlevkiviõli",lokaalküte_põlevkiviõli_2025)))))))/1000,SOOJUS!P19*SOOJUS!R19/1000)</f>
        <v>0</v>
      </c>
      <c r="E14" s="517">
        <f>IF(ISBLANK(SOOJUS!Q22),(SOOJUS!P22*(IF(SOOJUS!S22="biomass/puit",lokaalküte_biomass_2026,IF(SOOJUS!S22="freesturvas",lokaalküte_freesturvas_2026,IF(SOOJUS!S22="kütteõli",lokaalküte_kütteõli_2026,IF(SOOJUS!S22="maagaas",lokaalküte_maagaas_2026,IF(SOOJUS!S22="põlevkiviõli",lokaalküte_põlevkiviõli_2026)))))))/1000,SOOJUS!P22*SOOJUS!R22/1000)</f>
        <v>0</v>
      </c>
      <c r="F14" s="517">
        <f>IF(ISBLANK(SOOJUS!Q25),(SOOJUS!P25*(IF(SOOJUS!S25="biomass/puit",lokaalküte_biomass_2027,IF(SOOJUS!S25="freesturvas",lokaalküte_freesturvas_2027,IF(SOOJUS!S25="kütteõli",lokaalküte_kütteõli_2027,IF(SOOJUS!S25="maagaas",lokaalküte_maagaas_2027,IF(SOOJUS!S25="põlevkiviõli",lokaalküte_põlevkiviõli_2027)))))))/1000,SOOJUS!P25*SOOJUS!R25/1000)</f>
        <v>0</v>
      </c>
      <c r="G14" s="517">
        <f>IF(ISBLANK(SOOJUS!Q28),(SOOJUS!P28*(IF(SOOJUS!S28="biomass/puit",lokaalküte_biomass_2028,IF(SOOJUS!S28="freesturvas",lokaalküte_freesturvas_2028,IF(SOOJUS!S28="kütteõli",lokaalküte_kütteõli_2028,IF(SOOJUS!S28="maagaas",lokaalküte_maagaas_2028,IF(SOOJUS!S28="põlevkiviõli",lokaalküte_põlevkiviõli_2028)))))))/1000,SOOJUS!P28*SOOJUS!R28/1000)</f>
        <v>0</v>
      </c>
      <c r="H14" s="517">
        <f>IF(ISBLANK(SOOJUS!Q31),(SOOJUS!P31*(IF(SOOJUS!S31="biomass/puit",lokaalküte_biomass_2029,IF(SOOJUS!S31="freesturvas",lokaalküte_freesturvas_2029,IF(SOOJUS!S31="kütteõli",lokaalküte_kütteõli_2029,IF(SOOJUS!S31="maagaas",lokaalküte_maagaas_2029,IF(SOOJUS!S31="põlevkiviõli",lokaalküte_põlevkiviõli_2029)))))))/1000,SOOJUS!P31*SOOJUS!R31/1000)</f>
        <v>0</v>
      </c>
      <c r="I14" s="517">
        <f>IF(ISBLANK(SOOJUS!Q34),(SOOJUS!P34*(IF(SOOJUS!S34="biomass/puit",lokaalküte_biomass_2030,IF(SOOJUS!S34="freesturvas",lokaalküte_freesturvas_2030,IF(SOOJUS!S34="kütteõli",lokaalküte_kütteõli_2030,IF(SOOJUS!S34="maagaas",lokaalküte_maagaas_2030,IF(SOOJUS!S34="põlevkiviõli",lokaalküte_põlevkiviõli_2030)))))))/1000,SOOJUS!P34*SOOJUS!R34/1000)</f>
        <v>0</v>
      </c>
    </row>
    <row r="15" spans="2:11" ht="15" customHeight="1" thickBot="1">
      <c r="B15" s="518" t="s">
        <v>250</v>
      </c>
      <c r="C15" s="519">
        <f>'KHG_OMA SÕIDUKID M1'!E23</f>
        <v>0</v>
      </c>
      <c r="D15" s="520">
        <f>'KHG_OMA SÕIDUKID M1'!E36</f>
        <v>0</v>
      </c>
      <c r="E15" s="520">
        <f>'KHG_OMA SÕIDUKID M1'!E49</f>
        <v>0</v>
      </c>
      <c r="F15" s="520">
        <f>'KHG_OMA SÕIDUKID M1'!E62</f>
        <v>0</v>
      </c>
      <c r="G15" s="521">
        <f>'KHG_OMA SÕIDUKID M1'!E75</f>
        <v>0</v>
      </c>
      <c r="H15" s="520">
        <f>'KHG_OMA SÕIDUKID M1'!E88</f>
        <v>0</v>
      </c>
      <c r="I15" s="520">
        <f>'KHG_OMA SÕIDUKID M1'!E101</f>
        <v>0</v>
      </c>
    </row>
    <row r="16" spans="2:11" ht="15.75" thickBot="1">
      <c r="B16" s="79" t="s">
        <v>251</v>
      </c>
      <c r="C16" s="74">
        <f t="shared" ref="C16:I16" si="1">SUM(C13:C15)</f>
        <v>0</v>
      </c>
      <c r="D16" s="80">
        <f t="shared" si="1"/>
        <v>0</v>
      </c>
      <c r="E16" s="80">
        <f t="shared" si="1"/>
        <v>0</v>
      </c>
      <c r="F16" s="80">
        <f t="shared" si="1"/>
        <v>0</v>
      </c>
      <c r="G16" s="80">
        <f t="shared" si="1"/>
        <v>0</v>
      </c>
      <c r="H16" s="80">
        <f t="shared" si="1"/>
        <v>0</v>
      </c>
      <c r="I16" s="80">
        <f t="shared" si="1"/>
        <v>0</v>
      </c>
    </row>
    <row r="17" spans="2:34" ht="15.75" thickBot="1">
      <c r="B17" s="24"/>
      <c r="I17" s="81"/>
      <c r="M17" s="82"/>
    </row>
    <row r="18" spans="2:34" ht="15.75" thickBot="1">
      <c r="B18" s="83"/>
      <c r="C18" s="84">
        <f>ÜLDANDMED!D14</f>
        <v>2024</v>
      </c>
      <c r="D18" s="84">
        <f>ÜLDANDMED!E14</f>
        <v>2025</v>
      </c>
      <c r="E18" s="84">
        <f>ÜLDANDMED!F14</f>
        <v>2026</v>
      </c>
      <c r="F18" s="84">
        <f>ÜLDANDMED!G14</f>
        <v>2027</v>
      </c>
      <c r="G18" s="84">
        <f>ÜLDANDMED!H14</f>
        <v>2028</v>
      </c>
      <c r="H18" s="84">
        <f>ÜLDANDMED!I14</f>
        <v>2029</v>
      </c>
      <c r="I18" s="84">
        <f>ÜLDANDMED!J14</f>
        <v>2030</v>
      </c>
    </row>
    <row r="19" spans="2:34">
      <c r="B19" s="586" t="s">
        <v>252</v>
      </c>
      <c r="C19" s="506">
        <f>'KHG_PESUPESEMISTEENUS M3'!D33</f>
        <v>0</v>
      </c>
      <c r="D19" s="506">
        <f>'KHG_PESUPESEMISTEENUS M3'!D54</f>
        <v>0</v>
      </c>
      <c r="E19" s="506">
        <f>'KHG_PESUPESEMISTEENUS M3'!D75</f>
        <v>0</v>
      </c>
      <c r="F19" s="506">
        <f>'KHG_PESUPESEMISTEENUS M3'!D96</f>
        <v>0</v>
      </c>
      <c r="G19" s="506">
        <f>'KHG_PESUPESEMISTEENUS M3'!D117</f>
        <v>0</v>
      </c>
      <c r="H19" s="506">
        <f>'KHG_PESUPESEMISTEENUS M3'!D138</f>
        <v>0</v>
      </c>
      <c r="I19" s="506">
        <f>'KHG_PESUPESEMISTEENUS M3'!D159</f>
        <v>0</v>
      </c>
      <c r="K19" s="85"/>
    </row>
    <row r="20" spans="2:34">
      <c r="B20" s="507" t="s">
        <v>253</v>
      </c>
      <c r="C20" s="504">
        <f>'KHG_TÖÖREISID M3'!E32</f>
        <v>0</v>
      </c>
      <c r="D20" s="504">
        <f>'KHG_TÖÖREISID M3'!E55</f>
        <v>0</v>
      </c>
      <c r="E20" s="504">
        <f>'KHG_TÖÖREISID M3'!E78</f>
        <v>0</v>
      </c>
      <c r="F20" s="504">
        <f>'KHG_TÖÖREISID M3'!E101</f>
        <v>0</v>
      </c>
      <c r="G20" s="504">
        <f>'KHG_TÖÖREISID M3'!E124</f>
        <v>0</v>
      </c>
      <c r="H20" s="585">
        <f>'KHG_TÖÖREISID M3'!E147</f>
        <v>0</v>
      </c>
      <c r="I20" s="585">
        <f>'KHG_TÖÖREISID M3'!E170</f>
        <v>0</v>
      </c>
      <c r="K20" s="85"/>
      <c r="AA20" s="10">
        <f>C7</f>
        <v>2024</v>
      </c>
      <c r="AB20" s="10">
        <f t="shared" ref="AB20:AG20" si="2">D7</f>
        <v>2025</v>
      </c>
      <c r="AC20" s="10">
        <f t="shared" si="2"/>
        <v>2026</v>
      </c>
      <c r="AD20" s="10">
        <f t="shared" si="2"/>
        <v>2027</v>
      </c>
      <c r="AE20" s="10">
        <f t="shared" si="2"/>
        <v>2028</v>
      </c>
      <c r="AF20" s="10">
        <f t="shared" si="2"/>
        <v>2029</v>
      </c>
      <c r="AG20" s="10">
        <f t="shared" si="2"/>
        <v>2030</v>
      </c>
      <c r="AH20" s="10" t="s">
        <v>254</v>
      </c>
    </row>
    <row r="21" spans="2:34">
      <c r="B21" s="507" t="s">
        <v>255</v>
      </c>
      <c r="C21" s="504">
        <f>'KHG_TRANSPORDITEENUS M3'!K22</f>
        <v>0</v>
      </c>
      <c r="D21" s="504">
        <f>'KHG_TRANSPORDITEENUS M3'!K36</f>
        <v>0</v>
      </c>
      <c r="E21" s="504">
        <f>'KHG_TRANSPORDITEENUS M3'!K50</f>
        <v>0</v>
      </c>
      <c r="F21" s="504">
        <f>'KHG_TRANSPORDITEENUS M3'!K64</f>
        <v>0</v>
      </c>
      <c r="G21" s="504">
        <f>'KHG_TRANSPORDITEENUS M3'!K78</f>
        <v>0</v>
      </c>
      <c r="H21" s="504">
        <f>'KHG_TRANSPORDITEENUS M3'!K92</f>
        <v>0</v>
      </c>
      <c r="I21" s="504">
        <f>'KHG_TRANSPORDITEENUS M3'!K106</f>
        <v>0</v>
      </c>
      <c r="Y21" s="10" t="s">
        <v>256</v>
      </c>
      <c r="Z21" s="22" t="s">
        <v>257</v>
      </c>
      <c r="AA21" s="86" t="e">
        <f t="shared" ref="AA21:AG21" si="3">C8/C32</f>
        <v>#DIV/0!</v>
      </c>
      <c r="AB21" s="86" t="e">
        <f t="shared" si="3"/>
        <v>#DIV/0!</v>
      </c>
      <c r="AC21" s="86" t="e">
        <f t="shared" si="3"/>
        <v>#DIV/0!</v>
      </c>
      <c r="AD21" s="86" t="e">
        <f t="shared" si="3"/>
        <v>#DIV/0!</v>
      </c>
      <c r="AE21" s="86" t="e">
        <f t="shared" si="3"/>
        <v>#DIV/0!</v>
      </c>
      <c r="AF21" s="86" t="e">
        <f t="shared" si="3"/>
        <v>#DIV/0!</v>
      </c>
      <c r="AG21" s="86" t="e">
        <f t="shared" si="3"/>
        <v>#DIV/0!</v>
      </c>
      <c r="AH21" s="87" t="e">
        <f ca="1">OFFSET(Z21,,MATCH('KHG JALAJÄLG KOOND'!$Q$43,$AA$20:$AG$20,0))</f>
        <v>#DIV/0!</v>
      </c>
    </row>
    <row r="22" spans="2:34">
      <c r="B22" s="505" t="s">
        <v>258</v>
      </c>
      <c r="C22" s="504">
        <f>(VESI!P16*vesi_2024)/1000</f>
        <v>0</v>
      </c>
      <c r="D22" s="504">
        <f>(VESI!P18*vesi_2025)/1000</f>
        <v>0</v>
      </c>
      <c r="E22" s="504">
        <f>(VESI!P20*vesi_2026)/1000</f>
        <v>0</v>
      </c>
      <c r="F22" s="504">
        <f>(VESI!P22*vesi_2027)/1000</f>
        <v>0</v>
      </c>
      <c r="G22" s="504">
        <f>(VESI!P24*vesi_2028)/1000</f>
        <v>0</v>
      </c>
      <c r="H22" s="504">
        <f>(VESI!P26*vesi_2029)/1000</f>
        <v>0</v>
      </c>
      <c r="I22" s="504">
        <f>(VESI!P28*vesi_2030)/1000</f>
        <v>0</v>
      </c>
      <c r="Z22" s="22" t="s">
        <v>259</v>
      </c>
      <c r="AA22" s="86" t="e">
        <f t="shared" ref="AA22:AG22" si="4">C9/C32</f>
        <v>#DIV/0!</v>
      </c>
      <c r="AB22" s="86" t="e">
        <f t="shared" si="4"/>
        <v>#DIV/0!</v>
      </c>
      <c r="AC22" s="86" t="e">
        <f t="shared" si="4"/>
        <v>#DIV/0!</v>
      </c>
      <c r="AD22" s="86" t="e">
        <f t="shared" si="4"/>
        <v>#DIV/0!</v>
      </c>
      <c r="AE22" s="86" t="e">
        <f t="shared" si="4"/>
        <v>#DIV/0!</v>
      </c>
      <c r="AF22" s="86" t="e">
        <f t="shared" si="4"/>
        <v>#DIV/0!</v>
      </c>
      <c r="AG22" s="86" t="e">
        <f t="shared" si="4"/>
        <v>#DIV/0!</v>
      </c>
      <c r="AH22" s="87" t="e">
        <f ca="1">OFFSET(Z22,,MATCH('KHG JALAJÄLG KOOND'!$Q$43,$AA$20:$AG$20,0))</f>
        <v>#DIV/0!</v>
      </c>
    </row>
    <row r="23" spans="2:34">
      <c r="B23" s="508" t="s">
        <v>260</v>
      </c>
      <c r="C23" s="510">
        <f>(PABER!D18*paber_2024/1000)+(PABER!D19*lehträtik/1000)+(PABER!D21*salvrätik/1000)+(PABER!D23*tualettpaber/1000)</f>
        <v>0</v>
      </c>
      <c r="D23" s="510">
        <f>(PABER!D27*paber_2025/1000)+(PABER!D28*lehträtik/1000)+(PABER!D30*salvrätik/1000)+(PABER!D32*tualettpaber/1000)</f>
        <v>0</v>
      </c>
      <c r="E23" s="510">
        <f>(PABER!D36*paber_2026/1000)+(PABER!D37*lehträtik/1000)+(PABER!D39*salvrätik/1000)+(PABER!D41*tualettpaber/1000)</f>
        <v>0</v>
      </c>
      <c r="F23" s="510">
        <f>(PABER!D45*paber_2027/1000)+(PABER!D46*lehträtik/1000)+(PABER!D48*salvrätik/1000)+(PABER!D50*tualettpaber/1000)</f>
        <v>0</v>
      </c>
      <c r="G23" s="510">
        <f>(PABER!D54*paber_2028/1000)+(PABER!D55*lehträtik/1000)+(PABER!D57*salvrätik/1000)+(PABER!D59*tualettpaber/1000)</f>
        <v>0</v>
      </c>
      <c r="H23" s="510">
        <f>(PABER!D63*paber_2029/1000)+(PABER!D64*lehträtik/1000)+(PABER!D66*salvrätik/1000)+(PABER!D68*tualettpaber/1000)</f>
        <v>0</v>
      </c>
      <c r="I23" s="510">
        <f>(PABER!D72*paber_2030/1000)+(PABER!D73*lehträtik/1000)+(PABER!D75*salvrätik/1000)+(PABER!D77*tualettpaber/1000)</f>
        <v>0</v>
      </c>
      <c r="Y23" s="10"/>
      <c r="Z23" s="88" t="s">
        <v>261</v>
      </c>
      <c r="AA23" s="89" t="e">
        <f t="shared" ref="AA23:AG23" si="5">AA21+AA22</f>
        <v>#DIV/0!</v>
      </c>
      <c r="AB23" s="89" t="e">
        <f t="shared" si="5"/>
        <v>#DIV/0!</v>
      </c>
      <c r="AC23" s="89" t="e">
        <f t="shared" si="5"/>
        <v>#DIV/0!</v>
      </c>
      <c r="AD23" s="89" t="e">
        <f t="shared" si="5"/>
        <v>#DIV/0!</v>
      </c>
      <c r="AE23" s="89" t="e">
        <f t="shared" si="5"/>
        <v>#DIV/0!</v>
      </c>
      <c r="AF23" s="89" t="e">
        <f t="shared" si="5"/>
        <v>#DIV/0!</v>
      </c>
      <c r="AG23" s="89" t="e">
        <f t="shared" si="5"/>
        <v>#DIV/0!</v>
      </c>
      <c r="AH23" s="90" t="e">
        <f ca="1">OFFSET(Z23,,MATCH('KHG JALAJÄLG KOOND'!$Q$43,$AA$20:$AG$20,0))</f>
        <v>#DIV/0!</v>
      </c>
    </row>
    <row r="24" spans="2:34" ht="15.75" thickBot="1">
      <c r="B24" s="509" t="s">
        <v>262</v>
      </c>
      <c r="C24" s="510">
        <f>((JÄÄTMED!P17/1000*jäätmed_biojäätmed)+(JÄÄTMED!P18/1000*jäätmed_biojäätmed)+(JÄÄTMED!P20/1000*jäätmed_klaas)+(JÄÄTMED!P21/1000*jäätmed_klaas)+(JÄÄTMED!P23/1000*jäätmed_paber)+(JÄÄTMED!P24/1000*jäätmed_paber)+(JÄÄTMED!P26/1000*jäätmed_segapakend)+(JÄÄTMED!P27/1000*jäätmed_segapakend)+(JÄÄTMED!P30/1000*jäätmed_segaolme_prügila)+(JÄÄTMED!P31/1000*jäätmed_segaolme_prügila)+(JÄÄTMED!P33/1000*jäätmed_segaolme_põletus)+(JÄÄTMED!P34/1000*jäätmed_segaolme_põletus))/1000</f>
        <v>0</v>
      </c>
      <c r="D24" s="511">
        <f>((JÄÄTMED!P44/1000*jäätmed_biojäätmed)+(JÄÄTMED!P45/1000*jäätmed_biojäätmed)+(JÄÄTMED!P47/1000*jäätmed_klaas)+(JÄÄTMED!P48/1000*jäätmed_klaas)+(JÄÄTMED!P50/1000*jäätmed_paber)+(JÄÄTMED!P51/1000*jäätmed_paber)+(JÄÄTMED!P53/1000*jäätmed_segapakend)+(JÄÄTMED!P54/1000*jäätmed_segapakend)+(JÄÄTMED!P57/1000*jäätmed_segaolme_prügila)+(JÄÄTMED!P58/1000*jäätmed_segaolme_prügila)+(JÄÄTMED!P60/1000*jäätmed_segaolme_põletus)+(JÄÄTMED!P61/1000*jäätmed_segaolme_põletus))/1000</f>
        <v>0</v>
      </c>
      <c r="E24" s="511">
        <f>((JÄÄTMED!P71/1000*jäätmed_biojäätmed)+(JÄÄTMED!P72/1000*jäätmed_biojäätmed)+(JÄÄTMED!P74/1000*jäätmed_klaas)+(JÄÄTMED!P75/1000*jäätmed_klaas)+(JÄÄTMED!P77/1000*jäätmed_paber)+(JÄÄTMED!P78/1000*jäätmed_paber)+(JÄÄTMED!P80/1000*jäätmed_segapakend)+(JÄÄTMED!P81/1000*jäätmed_segapakend)+(JÄÄTMED!P84/1000*jäätmed_segaolme_prügila)+(JÄÄTMED!P85/1000*jäätmed_segaolme_prügila)+(JÄÄTMED!P87/1000*jäätmed_segaolme_põletus)+(JÄÄTMED!P88/1000*jäätmed_segaolme_põletus))/1000</f>
        <v>0</v>
      </c>
      <c r="F24" s="511">
        <f>((JÄÄTMED!P98/1000*jäätmed_biojäätmed)+(JÄÄTMED!P99/1000*jäätmed_biojäätmed)+(JÄÄTMED!P101/1000*jäätmed_klaas)+(JÄÄTMED!P102/1000*jäätmed_klaas)+(JÄÄTMED!P104/1000*jäätmed_paber)+(JÄÄTMED!P105/1000*jäätmed_paber)+(JÄÄTMED!P107/1000*jäätmed_segapakend)+(JÄÄTMED!P108/1000*jäätmed_segapakend)+(JÄÄTMED!P111/1000*jäätmed_segaolme_prügila)+(JÄÄTMED!P112/1000*jäätmed_segaolme_prügila)+(JÄÄTMED!P114/1000*jäätmed_segaolme_põletus)+(JÄÄTMED!P115/1000*jäätmed_segaolme_põletus))/1000</f>
        <v>0</v>
      </c>
      <c r="G24" s="511">
        <f>((JÄÄTMED!P125/1000*jäätmed_biojäätmed)+(JÄÄTMED!P126/1000*jäätmed_biojäätmed)+(JÄÄTMED!P128/1000*jäätmed_klaas)+(JÄÄTMED!P129/1000*jäätmed_klaas)+(JÄÄTMED!P131/1000*jäätmed_paber)+(JÄÄTMED!P132/1000*jäätmed_paber)+(JÄÄTMED!P134/1000*jäätmed_segapakend)+(JÄÄTMED!P135/1000*jäätmed_segapakend)+(JÄÄTMED!P138/1000*jäätmed_segaolme_prügila)+(JÄÄTMED!P139/1000*jäätmed_segaolme_prügila)+(JÄÄTMED!P141/1000*jäätmed_segaolme_põletus)+(JÄÄTMED!P142/1000*jäätmed_segaolme_põletus))/1000</f>
        <v>0</v>
      </c>
      <c r="H24" s="511">
        <f>((JÄÄTMED!P152/1000*jäätmed_biojäätmed)+(JÄÄTMED!P153/1000*jäätmed_biojäätmed)+(JÄÄTMED!P155/1000*jäätmed_klaas)+(JÄÄTMED!P156/1000*jäätmed_klaas)+(JÄÄTMED!P158/1000*jäätmed_paber)+(JÄÄTMED!P159/1000*jäätmed_paber)+(JÄÄTMED!P161/1000*jäätmed_segapakend)+(JÄÄTMED!P162/1000*jäätmed_segapakend)+(JÄÄTMED!P165/1000*jäätmed_segaolme_prügila)+(JÄÄTMED!P166/1000*jäätmed_segaolme_prügila)+(JÄÄTMED!P168/1000*jäätmed_segaolme_põletus)+(JÄÄTMED!P169/1000*jäätmed_segaolme_põletus))/1000</f>
        <v>0</v>
      </c>
      <c r="I24" s="511">
        <f>((JÄÄTMED!P179/1000*jäätmed_biojäätmed)+(JÄÄTMED!P180/1000*jäätmed_biojäätmed)+(JÄÄTMED!P182/1000*jäätmed_klaas)+(JÄÄTMED!P183/1000*jäätmed_klaas)+(JÄÄTMED!P185/1000*jäätmed_paber)+(JÄÄTMED!P186/1000*jäätmed_paber)+(JÄÄTMED!P188/1000*jäätmed_segapakend)+(JÄÄTMED!P189/1000*jäätmed_segapakend)+(JÄÄTMED!P192/1000*jäätmed_segaolme_prügila)+(JÄÄTMED!P193/1000*jäätmed_segaolme_prügila)+(JÄÄTMED!P195/1000*jäätmed_segaolme_põletus)+(JÄÄTMED!P196/1000*jäätmed_segaolme_põletus))/1000</f>
        <v>0</v>
      </c>
      <c r="N24" s="82"/>
      <c r="Y24" s="10" t="s">
        <v>263</v>
      </c>
      <c r="Z24" s="22" t="s">
        <v>264</v>
      </c>
      <c r="AA24" s="86" t="e">
        <f t="shared" ref="AA24:AG24" si="6">C13/C32</f>
        <v>#DIV/0!</v>
      </c>
      <c r="AB24" s="86" t="e">
        <f t="shared" si="6"/>
        <v>#DIV/0!</v>
      </c>
      <c r="AC24" s="86" t="e">
        <f t="shared" si="6"/>
        <v>#DIV/0!</v>
      </c>
      <c r="AD24" s="86" t="e">
        <f t="shared" si="6"/>
        <v>#DIV/0!</v>
      </c>
      <c r="AE24" s="86" t="e">
        <f t="shared" si="6"/>
        <v>#DIV/0!</v>
      </c>
      <c r="AF24" s="86" t="e">
        <f t="shared" si="6"/>
        <v>#DIV/0!</v>
      </c>
      <c r="AG24" s="86" t="e">
        <f t="shared" si="6"/>
        <v>#DIV/0!</v>
      </c>
      <c r="AH24" s="87" t="e">
        <f ca="1">OFFSET(Z24,,MATCH('KHG JALAJÄLG KOOND'!$Q$43,$AA$20:$AG$20,0))</f>
        <v>#DIV/0!</v>
      </c>
    </row>
    <row r="25" spans="2:34" ht="15.75" thickBot="1">
      <c r="B25" s="79" t="s">
        <v>265</v>
      </c>
      <c r="C25" s="74">
        <f>SUM(C19:C24)</f>
        <v>0</v>
      </c>
      <c r="D25" s="80">
        <f t="shared" ref="D25:H25" si="7">SUM(D19:D24)</f>
        <v>0</v>
      </c>
      <c r="E25" s="80">
        <f t="shared" si="7"/>
        <v>0</v>
      </c>
      <c r="F25" s="80">
        <f t="shared" si="7"/>
        <v>0</v>
      </c>
      <c r="G25" s="80">
        <f t="shared" si="7"/>
        <v>0</v>
      </c>
      <c r="H25" s="80">
        <f t="shared" si="7"/>
        <v>0</v>
      </c>
      <c r="I25" s="80">
        <f>SUM(I19:I24)</f>
        <v>0</v>
      </c>
      <c r="Y25" s="10"/>
      <c r="Z25" s="22" t="s">
        <v>266</v>
      </c>
      <c r="AA25" s="86" t="e">
        <f t="shared" ref="AA25:AG25" si="8">C14/C32</f>
        <v>#DIV/0!</v>
      </c>
      <c r="AB25" s="86" t="e">
        <f t="shared" si="8"/>
        <v>#DIV/0!</v>
      </c>
      <c r="AC25" s="86" t="e">
        <f t="shared" si="8"/>
        <v>#DIV/0!</v>
      </c>
      <c r="AD25" s="86" t="e">
        <f t="shared" si="8"/>
        <v>#DIV/0!</v>
      </c>
      <c r="AE25" s="86" t="e">
        <f t="shared" si="8"/>
        <v>#DIV/0!</v>
      </c>
      <c r="AF25" s="86" t="e">
        <f t="shared" si="8"/>
        <v>#DIV/0!</v>
      </c>
      <c r="AG25" s="86" t="e">
        <f t="shared" si="8"/>
        <v>#DIV/0!</v>
      </c>
      <c r="AH25" s="87" t="e">
        <f ca="1">OFFSET(Z25,,MATCH('KHG JALAJÄLG KOOND'!$Q$43,$AA$20:$AG$20,0))</f>
        <v>#DIV/0!</v>
      </c>
    </row>
    <row r="26" spans="2:34">
      <c r="B26" s="78"/>
      <c r="I26" s="81"/>
      <c r="Y26" s="10"/>
      <c r="Z26" s="22" t="s">
        <v>267</v>
      </c>
      <c r="AA26" s="87" t="e">
        <f t="shared" ref="AA26:AG26" si="9">C15/C32</f>
        <v>#DIV/0!</v>
      </c>
      <c r="AB26" s="87" t="e">
        <f t="shared" si="9"/>
        <v>#DIV/0!</v>
      </c>
      <c r="AC26" s="87" t="e">
        <f t="shared" si="9"/>
        <v>#DIV/0!</v>
      </c>
      <c r="AD26" s="87" t="e">
        <f t="shared" si="9"/>
        <v>#DIV/0!</v>
      </c>
      <c r="AE26" s="87" t="e">
        <f t="shared" si="9"/>
        <v>#DIV/0!</v>
      </c>
      <c r="AF26" s="87" t="e">
        <f t="shared" si="9"/>
        <v>#DIV/0!</v>
      </c>
      <c r="AG26" s="87" t="e">
        <f t="shared" si="9"/>
        <v>#DIV/0!</v>
      </c>
      <c r="AH26" s="87" t="e">
        <f ca="1">OFFSET(Z26,,MATCH('KHG JALAJÄLG KOOND'!$Q$43,$AA$20:$AG$20,0))</f>
        <v>#DIV/0!</v>
      </c>
    </row>
    <row r="27" spans="2:34" ht="15.75" thickBot="1">
      <c r="B27" s="78"/>
      <c r="I27" s="81"/>
      <c r="Y27" s="10"/>
      <c r="Z27" s="88" t="s">
        <v>268</v>
      </c>
      <c r="AA27" s="89" t="e">
        <f>AA24+AA25+AA26</f>
        <v>#DIV/0!</v>
      </c>
      <c r="AB27" s="89" t="e">
        <f t="shared" ref="AB27:AG27" si="10">AB24+AB25+AB26</f>
        <v>#DIV/0!</v>
      </c>
      <c r="AC27" s="89" t="e">
        <f t="shared" si="10"/>
        <v>#DIV/0!</v>
      </c>
      <c r="AD27" s="89" t="e">
        <f t="shared" si="10"/>
        <v>#DIV/0!</v>
      </c>
      <c r="AE27" s="89" t="e">
        <f t="shared" si="10"/>
        <v>#DIV/0!</v>
      </c>
      <c r="AF27" s="89" t="e">
        <f t="shared" si="10"/>
        <v>#DIV/0!</v>
      </c>
      <c r="AG27" s="89" t="e">
        <f t="shared" si="10"/>
        <v>#DIV/0!</v>
      </c>
      <c r="AH27" s="90" t="e">
        <f ca="1">OFFSET(Z27,,MATCH('KHG JALAJÄLG KOOND'!$Q$43,$AA$20:$AG$20,0))</f>
        <v>#DIV/0!</v>
      </c>
    </row>
    <row r="28" spans="2:34" ht="15.75" thickBot="1">
      <c r="B28" s="58"/>
      <c r="C28" s="91">
        <f t="shared" ref="C28:I28" si="11">C12</f>
        <v>2024</v>
      </c>
      <c r="D28" s="91">
        <f t="shared" si="11"/>
        <v>2025</v>
      </c>
      <c r="E28" s="91">
        <f t="shared" si="11"/>
        <v>2026</v>
      </c>
      <c r="F28" s="91">
        <f t="shared" si="11"/>
        <v>2027</v>
      </c>
      <c r="G28" s="91">
        <f t="shared" si="11"/>
        <v>2028</v>
      </c>
      <c r="H28" s="91">
        <f t="shared" si="11"/>
        <v>2029</v>
      </c>
      <c r="I28" s="91">
        <f t="shared" si="11"/>
        <v>2030</v>
      </c>
      <c r="Y28" s="10" t="s">
        <v>269</v>
      </c>
      <c r="Z28" s="22" t="s">
        <v>270</v>
      </c>
      <c r="AA28" s="87" t="e">
        <f t="shared" ref="AA28:AG28" si="12">C19/C32</f>
        <v>#DIV/0!</v>
      </c>
      <c r="AB28" s="87" t="e">
        <f t="shared" si="12"/>
        <v>#DIV/0!</v>
      </c>
      <c r="AC28" s="87" t="e">
        <f t="shared" si="12"/>
        <v>#DIV/0!</v>
      </c>
      <c r="AD28" s="87" t="e">
        <f t="shared" si="12"/>
        <v>#DIV/0!</v>
      </c>
      <c r="AE28" s="87" t="e">
        <f t="shared" si="12"/>
        <v>#DIV/0!</v>
      </c>
      <c r="AF28" s="87" t="e">
        <f t="shared" si="12"/>
        <v>#DIV/0!</v>
      </c>
      <c r="AG28" s="87" t="e">
        <f t="shared" si="12"/>
        <v>#DIV/0!</v>
      </c>
      <c r="AH28" s="87" t="e">
        <f ca="1">OFFSET(Z28,,MATCH('KHG JALAJÄLG KOOND'!$Q$43,$AA$20:$AG$20,0))</f>
        <v>#DIV/0!</v>
      </c>
    </row>
    <row r="29" spans="2:34" ht="29.1" customHeight="1">
      <c r="B29" s="503" t="s">
        <v>271</v>
      </c>
      <c r="C29" s="499">
        <f t="shared" ref="C29:I29" si="13">C10</f>
        <v>0</v>
      </c>
      <c r="D29" s="499">
        <f t="shared" si="13"/>
        <v>0</v>
      </c>
      <c r="E29" s="499">
        <f t="shared" si="13"/>
        <v>0</v>
      </c>
      <c r="F29" s="499">
        <f t="shared" si="13"/>
        <v>0</v>
      </c>
      <c r="G29" s="499">
        <f t="shared" si="13"/>
        <v>0</v>
      </c>
      <c r="H29" s="499">
        <f t="shared" si="13"/>
        <v>0</v>
      </c>
      <c r="I29" s="499">
        <f t="shared" si="13"/>
        <v>0</v>
      </c>
      <c r="Y29" s="10"/>
      <c r="Z29" s="22" t="s">
        <v>253</v>
      </c>
      <c r="AA29" s="87" t="e">
        <f>C20/C32</f>
        <v>#DIV/0!</v>
      </c>
      <c r="AB29" s="87" t="e">
        <f t="shared" ref="AB29:AG29" si="14">D20/D32</f>
        <v>#DIV/0!</v>
      </c>
      <c r="AC29" s="87" t="e">
        <f t="shared" si="14"/>
        <v>#DIV/0!</v>
      </c>
      <c r="AD29" s="87" t="e">
        <f t="shared" si="14"/>
        <v>#DIV/0!</v>
      </c>
      <c r="AE29" s="87" t="e">
        <f t="shared" si="14"/>
        <v>#DIV/0!</v>
      </c>
      <c r="AF29" s="87" t="e">
        <f t="shared" si="14"/>
        <v>#DIV/0!</v>
      </c>
      <c r="AG29" s="87" t="e">
        <f t="shared" si="14"/>
        <v>#DIV/0!</v>
      </c>
      <c r="AH29" s="87" t="e">
        <f ca="1">OFFSET(Z29,,MATCH('KHG JALAJÄLG KOOND'!$Q$43,$AA$20:$AG$20,0))</f>
        <v>#DIV/0!</v>
      </c>
    </row>
    <row r="30" spans="2:34" ht="29.1" customHeight="1">
      <c r="B30" s="524" t="s">
        <v>272</v>
      </c>
      <c r="C30" s="502">
        <f t="shared" ref="C30:I30" si="15">C16</f>
        <v>0</v>
      </c>
      <c r="D30" s="502">
        <f t="shared" si="15"/>
        <v>0</v>
      </c>
      <c r="E30" s="502">
        <f t="shared" si="15"/>
        <v>0</v>
      </c>
      <c r="F30" s="502">
        <f t="shared" si="15"/>
        <v>0</v>
      </c>
      <c r="G30" s="502">
        <f t="shared" si="15"/>
        <v>0</v>
      </c>
      <c r="H30" s="502">
        <f t="shared" si="15"/>
        <v>0</v>
      </c>
      <c r="I30" s="502">
        <f t="shared" si="15"/>
        <v>0</v>
      </c>
      <c r="Y30" s="10"/>
      <c r="Z30" s="22" t="s">
        <v>273</v>
      </c>
      <c r="AA30" s="86" t="e">
        <f t="shared" ref="AA30:AG30" si="16">C21/C32</f>
        <v>#DIV/0!</v>
      </c>
      <c r="AB30" s="86" t="e">
        <f t="shared" si="16"/>
        <v>#DIV/0!</v>
      </c>
      <c r="AC30" s="86" t="e">
        <f t="shared" si="16"/>
        <v>#DIV/0!</v>
      </c>
      <c r="AD30" s="86" t="e">
        <f t="shared" si="16"/>
        <v>#DIV/0!</v>
      </c>
      <c r="AE30" s="86" t="e">
        <f t="shared" si="16"/>
        <v>#DIV/0!</v>
      </c>
      <c r="AF30" s="86" t="e">
        <f t="shared" si="16"/>
        <v>#DIV/0!</v>
      </c>
      <c r="AG30" s="86" t="e">
        <f t="shared" si="16"/>
        <v>#DIV/0!</v>
      </c>
      <c r="AH30" s="87" t="e">
        <f ca="1">OFFSET(Z30,,MATCH('KHG JALAJÄLG KOOND'!$Q$43,$AA$20:$AG$20,0))</f>
        <v>#DIV/0!</v>
      </c>
    </row>
    <row r="31" spans="2:34" ht="29.1" customHeight="1" thickBot="1">
      <c r="B31" s="522" t="s">
        <v>274</v>
      </c>
      <c r="C31" s="523">
        <f t="shared" ref="C31:I31" si="17">C25</f>
        <v>0</v>
      </c>
      <c r="D31" s="523">
        <f t="shared" si="17"/>
        <v>0</v>
      </c>
      <c r="E31" s="523">
        <f t="shared" si="17"/>
        <v>0</v>
      </c>
      <c r="F31" s="523">
        <f t="shared" si="17"/>
        <v>0</v>
      </c>
      <c r="G31" s="523">
        <f t="shared" si="17"/>
        <v>0</v>
      </c>
      <c r="H31" s="523">
        <f t="shared" si="17"/>
        <v>0</v>
      </c>
      <c r="I31" s="523">
        <f t="shared" si="17"/>
        <v>0</v>
      </c>
      <c r="J31" s="92"/>
      <c r="Y31" s="10"/>
      <c r="Z31" s="22" t="s">
        <v>275</v>
      </c>
      <c r="AA31" s="87" t="e">
        <f t="shared" ref="AA31:AG31" si="18">C22/C32</f>
        <v>#DIV/0!</v>
      </c>
      <c r="AB31" s="87" t="e">
        <f t="shared" si="18"/>
        <v>#DIV/0!</v>
      </c>
      <c r="AC31" s="87" t="e">
        <f t="shared" si="18"/>
        <v>#DIV/0!</v>
      </c>
      <c r="AD31" s="87" t="e">
        <f t="shared" si="18"/>
        <v>#DIV/0!</v>
      </c>
      <c r="AE31" s="87" t="e">
        <f t="shared" si="18"/>
        <v>#DIV/0!</v>
      </c>
      <c r="AF31" s="87" t="e">
        <f t="shared" si="18"/>
        <v>#DIV/0!</v>
      </c>
      <c r="AG31" s="87" t="e">
        <f t="shared" si="18"/>
        <v>#DIV/0!</v>
      </c>
      <c r="AH31" s="87" t="e">
        <f ca="1">OFFSET(Z31,,MATCH('KHG JALAJÄLG KOOND'!$Q$43,$AA$20:$AG$20,0))</f>
        <v>#DIV/0!</v>
      </c>
    </row>
    <row r="32" spans="2:34" ht="15.75" thickBot="1">
      <c r="B32" s="526" t="s">
        <v>276</v>
      </c>
      <c r="C32" s="527">
        <f>SUM(C29:C31)</f>
        <v>0</v>
      </c>
      <c r="D32" s="527">
        <f t="shared" ref="D32:I32" si="19">SUM(D29:D31)</f>
        <v>0</v>
      </c>
      <c r="E32" s="527">
        <f t="shared" si="19"/>
        <v>0</v>
      </c>
      <c r="F32" s="527">
        <f t="shared" si="19"/>
        <v>0</v>
      </c>
      <c r="G32" s="527">
        <f t="shared" si="19"/>
        <v>0</v>
      </c>
      <c r="H32" s="527">
        <f t="shared" si="19"/>
        <v>0</v>
      </c>
      <c r="I32" s="527">
        <f t="shared" si="19"/>
        <v>0</v>
      </c>
      <c r="Y32" s="87"/>
      <c r="Z32" s="22" t="s">
        <v>277</v>
      </c>
      <c r="AA32" s="87" t="e">
        <f>C23/C32</f>
        <v>#DIV/0!</v>
      </c>
      <c r="AB32" s="87" t="e">
        <f t="shared" ref="AB32:AG32" si="20">D23/D32</f>
        <v>#DIV/0!</v>
      </c>
      <c r="AC32" s="87" t="e">
        <f t="shared" si="20"/>
        <v>#DIV/0!</v>
      </c>
      <c r="AD32" s="87" t="e">
        <f t="shared" si="20"/>
        <v>#DIV/0!</v>
      </c>
      <c r="AE32" s="87" t="e">
        <f t="shared" si="20"/>
        <v>#DIV/0!</v>
      </c>
      <c r="AF32" s="87" t="e">
        <f t="shared" si="20"/>
        <v>#DIV/0!</v>
      </c>
      <c r="AG32" s="87" t="e">
        <f t="shared" si="20"/>
        <v>#DIV/0!</v>
      </c>
      <c r="AH32" s="87" t="e">
        <f ca="1">OFFSET(Z32,,MATCH('KHG JALAJÄLG KOOND'!$Q$43,$AA$20:$AG$20,0))</f>
        <v>#DIV/0!</v>
      </c>
    </row>
    <row r="33" spans="2:34" ht="15.75" thickBot="1">
      <c r="Y33" s="10"/>
      <c r="Z33" s="22" t="s">
        <v>278</v>
      </c>
      <c r="AA33" s="87" t="e">
        <f t="shared" ref="AA33:AG33" si="21">C24/C32</f>
        <v>#DIV/0!</v>
      </c>
      <c r="AB33" s="87" t="e">
        <f t="shared" si="21"/>
        <v>#DIV/0!</v>
      </c>
      <c r="AC33" s="87" t="e">
        <f t="shared" si="21"/>
        <v>#DIV/0!</v>
      </c>
      <c r="AD33" s="87" t="e">
        <f t="shared" si="21"/>
        <v>#DIV/0!</v>
      </c>
      <c r="AE33" s="87" t="e">
        <f t="shared" si="21"/>
        <v>#DIV/0!</v>
      </c>
      <c r="AF33" s="87" t="e">
        <f t="shared" si="21"/>
        <v>#DIV/0!</v>
      </c>
      <c r="AG33" s="87" t="e">
        <f t="shared" si="21"/>
        <v>#DIV/0!</v>
      </c>
      <c r="AH33" s="87" t="e">
        <f ca="1">OFFSET(Z33,,MATCH('KHG JALAJÄLG KOOND'!$Q$43,$AA$20:$AG$20,0))</f>
        <v>#DIV/0!</v>
      </c>
    </row>
    <row r="34" spans="2:34" ht="15.75" thickBot="1">
      <c r="B34" s="532" t="s">
        <v>279</v>
      </c>
      <c r="C34" s="527" t="e">
        <f>C32/ÜLDANDMED!D16*1000</f>
        <v>#DIV/0!</v>
      </c>
      <c r="D34" s="533" t="e">
        <f>D32/ÜLDANDMED!E16*1000</f>
        <v>#DIV/0!</v>
      </c>
      <c r="E34" s="527" t="e">
        <f>E32/ÜLDANDMED!F16*1000</f>
        <v>#DIV/0!</v>
      </c>
      <c r="F34" s="533" t="e">
        <f>F32/ÜLDANDMED!G16*1000</f>
        <v>#DIV/0!</v>
      </c>
      <c r="G34" s="527" t="e">
        <f>G32/ÜLDANDMED!H16*1000</f>
        <v>#DIV/0!</v>
      </c>
      <c r="H34" s="533" t="e">
        <f>H32/ÜLDANDMED!I16*1000</f>
        <v>#DIV/0!</v>
      </c>
      <c r="I34" s="527" t="e">
        <f>I32/ÜLDANDMED!J16*1000</f>
        <v>#DIV/0!</v>
      </c>
      <c r="Y34" s="10"/>
      <c r="Z34" s="88" t="s">
        <v>280</v>
      </c>
      <c r="AA34" s="90" t="e">
        <f>SUM(AA28:AA33)</f>
        <v>#DIV/0!</v>
      </c>
      <c r="AB34" s="90" t="e">
        <f t="shared" ref="AB34:AG34" si="22">SUM(AB28:AB33)</f>
        <v>#DIV/0!</v>
      </c>
      <c r="AC34" s="90" t="e">
        <f t="shared" si="22"/>
        <v>#DIV/0!</v>
      </c>
      <c r="AD34" s="90" t="e">
        <f t="shared" si="22"/>
        <v>#DIV/0!</v>
      </c>
      <c r="AE34" s="90" t="e">
        <f t="shared" si="22"/>
        <v>#DIV/0!</v>
      </c>
      <c r="AF34" s="90" t="e">
        <f t="shared" si="22"/>
        <v>#DIV/0!</v>
      </c>
      <c r="AG34" s="90" t="e">
        <f t="shared" si="22"/>
        <v>#DIV/0!</v>
      </c>
      <c r="AH34" s="90" t="e">
        <f ca="1">OFFSET(Z34,,MATCH('KHG JALAJÄLG KOOND'!$Q$43,$AA$20:$AG$20,0))</f>
        <v>#DIV/0!</v>
      </c>
    </row>
    <row r="35" spans="2:34" ht="15.75" thickBot="1">
      <c r="B35" s="147"/>
      <c r="C35" s="210"/>
      <c r="E35" s="210"/>
      <c r="G35" s="210"/>
      <c r="I35" s="534"/>
      <c r="Y35" s="10"/>
      <c r="Z35" s="22" t="s">
        <v>281</v>
      </c>
      <c r="AA35" s="86" t="e">
        <f t="shared" ref="AA35:AG35" si="23">AA23+AA27+AA34</f>
        <v>#DIV/0!</v>
      </c>
      <c r="AB35" s="86" t="e">
        <f t="shared" si="23"/>
        <v>#DIV/0!</v>
      </c>
      <c r="AC35" s="86" t="e">
        <f t="shared" si="23"/>
        <v>#DIV/0!</v>
      </c>
      <c r="AD35" s="86" t="e">
        <f t="shared" si="23"/>
        <v>#DIV/0!</v>
      </c>
      <c r="AE35" s="86" t="e">
        <f t="shared" si="23"/>
        <v>#DIV/0!</v>
      </c>
      <c r="AF35" s="86" t="e">
        <f t="shared" si="23"/>
        <v>#DIV/0!</v>
      </c>
      <c r="AG35" s="86" t="e">
        <f t="shared" si="23"/>
        <v>#DIV/0!</v>
      </c>
      <c r="AH35" s="86"/>
    </row>
    <row r="36" spans="2:34">
      <c r="B36" s="599" t="s">
        <v>282</v>
      </c>
      <c r="C36" s="600" t="e">
        <f>(ÜLDANDMED!D17/ÜLDANDMED!D16)*'KHG JALAJÄLG KOOND'!C32</f>
        <v>#DIV/0!</v>
      </c>
      <c r="D36" s="601" t="e">
        <f>(ÜLDANDMED!E17/ÜLDANDMED!E16)*'KHG JALAJÄLG KOOND'!D32</f>
        <v>#DIV/0!</v>
      </c>
      <c r="E36" s="600" t="e">
        <f>(ÜLDANDMED!F17/ÜLDANDMED!F16)*'KHG JALAJÄLG KOOND'!E32</f>
        <v>#DIV/0!</v>
      </c>
      <c r="F36" s="601" t="e">
        <f>(ÜLDANDMED!G17/ÜLDANDMED!G16)*'KHG JALAJÄLG KOOND'!F32</f>
        <v>#DIV/0!</v>
      </c>
      <c r="G36" s="600" t="e">
        <f>(ÜLDANDMED!H17/ÜLDANDMED!H16)*'KHG JALAJÄLG KOOND'!G32</f>
        <v>#DIV/0!</v>
      </c>
      <c r="H36" s="601" t="e">
        <f>(ÜLDANDMED!I17/ÜLDANDMED!I16)*'KHG JALAJÄLG KOOND'!H32</f>
        <v>#DIV/0!</v>
      </c>
      <c r="I36" s="600" t="e">
        <f>(ÜLDANDMED!J17/ÜLDANDMED!J16)*'KHG JALAJÄLG KOOND'!I32</f>
        <v>#DIV/0!</v>
      </c>
      <c r="Y36" s="10"/>
    </row>
    <row r="37" spans="2:34" ht="15.75" thickBot="1">
      <c r="B37" s="602" t="s">
        <v>283</v>
      </c>
      <c r="C37" s="603" t="e">
        <f>(ÜLDANDMED!D18/ÜLDANDMED!D16)*'KHG JALAJÄLG KOOND'!C32</f>
        <v>#DIV/0!</v>
      </c>
      <c r="D37" s="604" t="e">
        <f>(ÜLDANDMED!E18/ÜLDANDMED!E16)*'KHG JALAJÄLG KOOND'!D32</f>
        <v>#DIV/0!</v>
      </c>
      <c r="E37" s="603" t="e">
        <f>(ÜLDANDMED!F18/ÜLDANDMED!F16)*'KHG JALAJÄLG KOOND'!E32</f>
        <v>#DIV/0!</v>
      </c>
      <c r="F37" s="604" t="e">
        <f>(ÜLDANDMED!G18/ÜLDANDMED!G16)*'KHG JALAJÄLG KOOND'!F32</f>
        <v>#DIV/0!</v>
      </c>
      <c r="G37" s="603" t="e">
        <f>(ÜLDANDMED!H18/ÜLDANDMED!H16)*'KHG JALAJÄLG KOOND'!G32</f>
        <v>#DIV/0!</v>
      </c>
      <c r="H37" s="604" t="e">
        <f>(ÜLDANDMED!I18/ÜLDANDMED!I16)*'KHG JALAJÄLG KOOND'!H32</f>
        <v>#DIV/0!</v>
      </c>
      <c r="I37" s="603" t="e">
        <f>(ÜLDANDMED!J18/ÜLDANDMED!J16)*'KHG JALAJÄLG KOOND'!I32</f>
        <v>#DIV/0!</v>
      </c>
    </row>
    <row r="39" spans="2:34">
      <c r="C39" s="424"/>
      <c r="D39" s="424"/>
      <c r="E39" s="424"/>
      <c r="F39" s="424"/>
      <c r="G39" s="424"/>
      <c r="H39" s="425"/>
      <c r="I39" s="425"/>
    </row>
    <row r="40" spans="2:34">
      <c r="B40" s="101"/>
    </row>
    <row r="41" spans="2:34">
      <c r="B41" s="101"/>
    </row>
    <row r="42" spans="2:34" ht="15.75" thickBot="1"/>
    <row r="43" spans="2:34" ht="16.5" thickTop="1" thickBot="1">
      <c r="O43" s="697" t="s">
        <v>284</v>
      </c>
      <c r="P43" s="698"/>
      <c r="Q43" s="93">
        <v>2024</v>
      </c>
    </row>
    <row r="44" spans="2:34" ht="15.75" thickTop="1">
      <c r="B44" s="101"/>
    </row>
    <row r="45" spans="2:34">
      <c r="B45" s="101"/>
    </row>
    <row r="46" spans="2:34">
      <c r="B46" s="101"/>
    </row>
    <row r="47" spans="2:34">
      <c r="B47" s="101"/>
    </row>
  </sheetData>
  <mergeCells count="2">
    <mergeCell ref="O43:P43"/>
    <mergeCell ref="B3:I3"/>
  </mergeCells>
  <dataValidations count="1">
    <dataValidation type="list" allowBlank="1" showInputMessage="1" showErrorMessage="1" sqref="Q43" xr:uid="{5FA1E2FE-2AFF-4AE1-B542-83853624FE2C}">
      <formula1>$AA$20:$AG$20</formula1>
    </dataValidation>
  </dataValidations>
  <pageMargins left="0.70866141732283472" right="0.70866141732283472"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9560-C03E-40DE-962C-F515CC9638C1}">
  <dimension ref="A2:H1048563"/>
  <sheetViews>
    <sheetView showGridLines="0" zoomScaleNormal="100" workbookViewId="0">
      <pane xSplit="1" ySplit="2" topLeftCell="B3" activePane="bottomRight" state="frozen"/>
      <selection pane="bottomRight" activeCell="B3" sqref="B3:F3"/>
      <selection pane="bottomLeft" activeCell="N14" sqref="N14"/>
      <selection pane="topRight" activeCell="N14" sqref="N14"/>
    </sheetView>
  </sheetViews>
  <sheetFormatPr defaultColWidth="9.140625" defaultRowHeight="15" customHeight="1"/>
  <cols>
    <col min="1" max="1" width="2.5703125" style="10" customWidth="1"/>
    <col min="2" max="2" width="15" style="10" customWidth="1"/>
    <col min="3" max="3" width="61.42578125" style="10" customWidth="1"/>
    <col min="4" max="4" width="13.5703125" style="7" customWidth="1"/>
    <col min="5" max="5" width="20" style="10" bestFit="1" customWidth="1"/>
    <col min="6" max="6" width="188.5703125" style="10" bestFit="1" customWidth="1"/>
    <col min="7" max="16384" width="9.140625" style="10"/>
  </cols>
  <sheetData>
    <row r="2" spans="2:6" ht="18.75" customHeight="1">
      <c r="B2" s="581" t="s">
        <v>285</v>
      </c>
    </row>
    <row r="3" spans="2:6" ht="52.5" customHeight="1">
      <c r="B3" s="699" t="s">
        <v>286</v>
      </c>
      <c r="C3" s="699"/>
      <c r="D3" s="699"/>
      <c r="E3" s="699"/>
      <c r="F3" s="699"/>
    </row>
    <row r="5" spans="2:6" ht="15" customHeight="1">
      <c r="B5" s="8" t="s">
        <v>287</v>
      </c>
      <c r="C5" s="9"/>
    </row>
    <row r="6" spans="2:6" ht="15" customHeight="1">
      <c r="B6" s="11" t="s">
        <v>288</v>
      </c>
      <c r="C6" s="11" t="s">
        <v>289</v>
      </c>
      <c r="D6" s="12" t="s">
        <v>290</v>
      </c>
      <c r="E6" s="12" t="s">
        <v>291</v>
      </c>
      <c r="F6" s="13" t="s">
        <v>292</v>
      </c>
    </row>
    <row r="7" spans="2:6" ht="15" customHeight="1">
      <c r="B7" s="14">
        <v>2024</v>
      </c>
      <c r="C7" s="15" t="s">
        <v>293</v>
      </c>
      <c r="D7" s="16">
        <v>0.71165999999999996</v>
      </c>
      <c r="E7" s="14" t="s">
        <v>294</v>
      </c>
      <c r="F7" s="17" t="s">
        <v>295</v>
      </c>
    </row>
    <row r="8" spans="2:6" ht="15" customHeight="1">
      <c r="B8" s="14">
        <v>2025</v>
      </c>
      <c r="C8" s="15" t="s">
        <v>293</v>
      </c>
      <c r="D8" s="544">
        <v>0.71165999999999996</v>
      </c>
      <c r="E8" s="14" t="s">
        <v>294</v>
      </c>
      <c r="F8" s="17" t="s">
        <v>296</v>
      </c>
    </row>
    <row r="9" spans="2:6" ht="15" customHeight="1">
      <c r="B9" s="14">
        <v>2026</v>
      </c>
      <c r="C9" s="15" t="s">
        <v>293</v>
      </c>
      <c r="D9" s="18"/>
      <c r="E9" s="14" t="s">
        <v>294</v>
      </c>
      <c r="F9" s="17" t="s">
        <v>296</v>
      </c>
    </row>
    <row r="10" spans="2:6" ht="15" customHeight="1">
      <c r="B10" s="14">
        <v>2027</v>
      </c>
      <c r="C10" s="15" t="s">
        <v>293</v>
      </c>
      <c r="D10" s="18"/>
      <c r="E10" s="14" t="s">
        <v>294</v>
      </c>
      <c r="F10" s="17" t="s">
        <v>296</v>
      </c>
    </row>
    <row r="11" spans="2:6" ht="15" customHeight="1">
      <c r="B11" s="14">
        <v>2028</v>
      </c>
      <c r="C11" s="15" t="s">
        <v>293</v>
      </c>
      <c r="D11" s="18"/>
      <c r="E11" s="14" t="s">
        <v>294</v>
      </c>
      <c r="F11" s="17" t="s">
        <v>296</v>
      </c>
    </row>
    <row r="12" spans="2:6" ht="15" customHeight="1">
      <c r="B12" s="14">
        <v>2029</v>
      </c>
      <c r="C12" s="15" t="s">
        <v>293</v>
      </c>
      <c r="D12" s="18"/>
      <c r="E12" s="14" t="s">
        <v>294</v>
      </c>
      <c r="F12" s="17" t="s">
        <v>296</v>
      </c>
    </row>
    <row r="13" spans="2:6" ht="15" customHeight="1">
      <c r="B13" s="14">
        <v>2030</v>
      </c>
      <c r="C13" s="15" t="s">
        <v>293</v>
      </c>
      <c r="D13" s="18"/>
      <c r="E13" s="14" t="s">
        <v>294</v>
      </c>
      <c r="F13" s="17" t="s">
        <v>296</v>
      </c>
    </row>
    <row r="14" spans="2:6" ht="15" customHeight="1">
      <c r="D14" s="20"/>
      <c r="E14" s="21"/>
      <c r="F14" s="22"/>
    </row>
    <row r="15" spans="2:6" ht="15" customHeight="1">
      <c r="B15" s="8" t="s">
        <v>297</v>
      </c>
      <c r="C15" s="9"/>
    </row>
    <row r="16" spans="2:6" ht="15" customHeight="1">
      <c r="B16" s="11" t="s">
        <v>288</v>
      </c>
      <c r="C16" s="11" t="s">
        <v>298</v>
      </c>
      <c r="D16" s="12" t="s">
        <v>290</v>
      </c>
      <c r="E16" s="12" t="s">
        <v>291</v>
      </c>
      <c r="F16" s="13" t="s">
        <v>292</v>
      </c>
    </row>
    <row r="17" spans="2:6" ht="15" customHeight="1">
      <c r="B17" s="14">
        <v>2024</v>
      </c>
      <c r="C17" s="14" t="s">
        <v>299</v>
      </c>
      <c r="D17" s="16">
        <v>8.1000000000000003E-2</v>
      </c>
      <c r="E17" s="14" t="s">
        <v>300</v>
      </c>
      <c r="F17" s="23" t="s">
        <v>301</v>
      </c>
    </row>
    <row r="18" spans="2:6" ht="15" customHeight="1">
      <c r="B18" s="14">
        <v>2025</v>
      </c>
      <c r="C18" s="14" t="s">
        <v>299</v>
      </c>
      <c r="D18" s="26">
        <v>7.2999999999999995E-2</v>
      </c>
      <c r="E18" s="14" t="s">
        <v>300</v>
      </c>
      <c r="F18" s="23" t="s">
        <v>302</v>
      </c>
    </row>
    <row r="19" spans="2:6" ht="15" customHeight="1">
      <c r="B19" s="14">
        <v>2026</v>
      </c>
      <c r="C19" s="14" t="s">
        <v>299</v>
      </c>
      <c r="D19" s="16"/>
      <c r="E19" s="14" t="s">
        <v>300</v>
      </c>
      <c r="F19" s="23" t="s">
        <v>303</v>
      </c>
    </row>
    <row r="20" spans="2:6" ht="15" customHeight="1">
      <c r="B20" s="14">
        <v>2027</v>
      </c>
      <c r="C20" s="14" t="s">
        <v>299</v>
      </c>
      <c r="D20" s="16"/>
      <c r="E20" s="14" t="s">
        <v>300</v>
      </c>
      <c r="F20" s="23" t="s">
        <v>303</v>
      </c>
    </row>
    <row r="21" spans="2:6" ht="15" customHeight="1">
      <c r="B21" s="14">
        <v>2028</v>
      </c>
      <c r="C21" s="14" t="s">
        <v>299</v>
      </c>
      <c r="D21" s="16"/>
      <c r="E21" s="14" t="s">
        <v>300</v>
      </c>
      <c r="F21" s="23" t="s">
        <v>303</v>
      </c>
    </row>
    <row r="22" spans="2:6" ht="15" customHeight="1">
      <c r="B22" s="14">
        <v>2029</v>
      </c>
      <c r="C22" s="14" t="s">
        <v>299</v>
      </c>
      <c r="D22" s="16"/>
      <c r="E22" s="14" t="s">
        <v>300</v>
      </c>
      <c r="F22" s="23" t="s">
        <v>303</v>
      </c>
    </row>
    <row r="23" spans="2:6" ht="15" customHeight="1">
      <c r="B23" s="14">
        <v>2030</v>
      </c>
      <c r="C23" s="14" t="s">
        <v>299</v>
      </c>
      <c r="D23" s="16"/>
      <c r="E23" s="14" t="s">
        <v>300</v>
      </c>
      <c r="F23" s="23" t="s">
        <v>303</v>
      </c>
    </row>
    <row r="24" spans="2:6" ht="15" customHeight="1">
      <c r="B24" s="22"/>
      <c r="C24" s="22"/>
    </row>
    <row r="25" spans="2:6" ht="15" customHeight="1">
      <c r="B25" s="11" t="s">
        <v>288</v>
      </c>
      <c r="C25" s="11" t="s">
        <v>304</v>
      </c>
      <c r="D25" s="12" t="s">
        <v>290</v>
      </c>
      <c r="E25" s="12" t="s">
        <v>291</v>
      </c>
      <c r="F25" s="13" t="s">
        <v>292</v>
      </c>
    </row>
    <row r="26" spans="2:6" ht="15" customHeight="1">
      <c r="B26" s="14">
        <v>2024</v>
      </c>
      <c r="C26" s="25" t="s">
        <v>305</v>
      </c>
      <c r="D26" s="26">
        <v>2.1999999999999999E-2</v>
      </c>
      <c r="E26" s="23" t="s">
        <v>294</v>
      </c>
      <c r="F26" s="23" t="s">
        <v>306</v>
      </c>
    </row>
    <row r="27" spans="2:6" ht="15" customHeight="1">
      <c r="B27" s="14">
        <v>2025</v>
      </c>
      <c r="C27" s="25" t="s">
        <v>305</v>
      </c>
      <c r="D27" s="26">
        <v>3.4000000000000002E-2</v>
      </c>
      <c r="E27" s="23" t="s">
        <v>294</v>
      </c>
      <c r="F27" s="23" t="s">
        <v>307</v>
      </c>
    </row>
    <row r="28" spans="2:6" ht="15" customHeight="1">
      <c r="B28" s="14">
        <v>2026</v>
      </c>
      <c r="C28" s="25" t="s">
        <v>305</v>
      </c>
      <c r="D28" s="26"/>
      <c r="E28" s="23" t="s">
        <v>294</v>
      </c>
      <c r="F28" s="17" t="s">
        <v>308</v>
      </c>
    </row>
    <row r="29" spans="2:6" ht="15" customHeight="1">
      <c r="B29" s="14">
        <v>2027</v>
      </c>
      <c r="C29" s="25" t="s">
        <v>305</v>
      </c>
      <c r="D29" s="26"/>
      <c r="E29" s="23" t="s">
        <v>294</v>
      </c>
      <c r="F29" s="17" t="s">
        <v>308</v>
      </c>
    </row>
    <row r="30" spans="2:6" ht="15" customHeight="1">
      <c r="B30" s="14">
        <v>2028</v>
      </c>
      <c r="C30" s="14" t="s">
        <v>305</v>
      </c>
      <c r="D30" s="26"/>
      <c r="E30" s="23" t="s">
        <v>294</v>
      </c>
      <c r="F30" s="17" t="s">
        <v>308</v>
      </c>
    </row>
    <row r="31" spans="2:6" ht="15" customHeight="1">
      <c r="B31" s="14">
        <v>2029</v>
      </c>
      <c r="C31" s="14" t="s">
        <v>305</v>
      </c>
      <c r="D31" s="26"/>
      <c r="E31" s="23" t="s">
        <v>294</v>
      </c>
      <c r="F31" s="17" t="s">
        <v>308</v>
      </c>
    </row>
    <row r="32" spans="2:6" ht="15" customHeight="1">
      <c r="B32" s="14">
        <v>2030</v>
      </c>
      <c r="C32" s="14" t="s">
        <v>305</v>
      </c>
      <c r="D32" s="26"/>
      <c r="E32" s="23" t="s">
        <v>294</v>
      </c>
      <c r="F32" s="17" t="s">
        <v>308</v>
      </c>
    </row>
    <row r="34" spans="2:8" ht="15" customHeight="1">
      <c r="B34" s="11" t="s">
        <v>288</v>
      </c>
      <c r="C34" s="11" t="s">
        <v>309</v>
      </c>
      <c r="D34" s="12" t="s">
        <v>290</v>
      </c>
      <c r="E34" s="12" t="s">
        <v>291</v>
      </c>
      <c r="F34" s="13" t="s">
        <v>292</v>
      </c>
    </row>
    <row r="35" spans="2:8" ht="15" customHeight="1">
      <c r="B35" s="14">
        <v>2024</v>
      </c>
      <c r="C35" s="25" t="s">
        <v>310</v>
      </c>
      <c r="D35" s="26">
        <v>1.093E-2</v>
      </c>
      <c r="E35" s="23" t="s">
        <v>294</v>
      </c>
      <c r="F35" s="23" t="s">
        <v>306</v>
      </c>
    </row>
    <row r="36" spans="2:8" ht="15" customHeight="1">
      <c r="B36" s="14">
        <v>2025</v>
      </c>
      <c r="C36" s="25" t="s">
        <v>310</v>
      </c>
      <c r="D36" s="26">
        <v>8.0000000000000002E-3</v>
      </c>
      <c r="E36" s="23" t="s">
        <v>294</v>
      </c>
      <c r="F36" s="23" t="s">
        <v>307</v>
      </c>
    </row>
    <row r="37" spans="2:8" ht="15" customHeight="1">
      <c r="B37" s="14">
        <v>2026</v>
      </c>
      <c r="C37" s="25" t="s">
        <v>310</v>
      </c>
      <c r="D37" s="26"/>
      <c r="E37" s="23" t="s">
        <v>294</v>
      </c>
      <c r="F37" s="17" t="s">
        <v>308</v>
      </c>
    </row>
    <row r="38" spans="2:8" ht="15" customHeight="1">
      <c r="B38" s="14">
        <v>2027</v>
      </c>
      <c r="C38" s="25" t="s">
        <v>310</v>
      </c>
      <c r="D38" s="26"/>
      <c r="E38" s="23" t="s">
        <v>294</v>
      </c>
      <c r="F38" s="17" t="s">
        <v>308</v>
      </c>
    </row>
    <row r="39" spans="2:8" ht="15" customHeight="1">
      <c r="B39" s="14">
        <v>2028</v>
      </c>
      <c r="C39" s="14" t="s">
        <v>310</v>
      </c>
      <c r="D39" s="26"/>
      <c r="E39" s="23" t="s">
        <v>294</v>
      </c>
      <c r="F39" s="17" t="s">
        <v>308</v>
      </c>
    </row>
    <row r="40" spans="2:8" ht="15" customHeight="1">
      <c r="B40" s="14">
        <v>2029</v>
      </c>
      <c r="C40" s="14" t="s">
        <v>310</v>
      </c>
      <c r="D40" s="26"/>
      <c r="E40" s="23" t="s">
        <v>294</v>
      </c>
      <c r="F40" s="17" t="s">
        <v>308</v>
      </c>
    </row>
    <row r="41" spans="2:8" ht="15" customHeight="1">
      <c r="B41" s="14">
        <v>2030</v>
      </c>
      <c r="C41" s="14" t="s">
        <v>310</v>
      </c>
      <c r="D41" s="26"/>
      <c r="E41" s="23" t="s">
        <v>294</v>
      </c>
      <c r="F41" s="17" t="s">
        <v>308</v>
      </c>
    </row>
    <row r="43" spans="2:8" ht="15" customHeight="1">
      <c r="B43" s="11" t="s">
        <v>288</v>
      </c>
      <c r="C43" s="11" t="s">
        <v>311</v>
      </c>
      <c r="D43" s="12" t="s">
        <v>290</v>
      </c>
      <c r="E43" s="27" t="s">
        <v>291</v>
      </c>
      <c r="F43" s="13" t="s">
        <v>292</v>
      </c>
    </row>
    <row r="44" spans="2:8" ht="15" customHeight="1">
      <c r="B44" s="14">
        <v>2024</v>
      </c>
      <c r="C44" s="14" t="s">
        <v>312</v>
      </c>
      <c r="D44" s="28">
        <v>2.313367118044931E-4</v>
      </c>
      <c r="E44" s="14" t="s">
        <v>300</v>
      </c>
      <c r="F44" s="23" t="s">
        <v>313</v>
      </c>
    </row>
    <row r="45" spans="2:8" ht="15" customHeight="1">
      <c r="B45" s="14">
        <v>2025</v>
      </c>
      <c r="C45" s="14" t="s">
        <v>312</v>
      </c>
      <c r="D45" s="545">
        <v>2.313367118044931E-4</v>
      </c>
      <c r="E45" s="14" t="s">
        <v>300</v>
      </c>
      <c r="F45" s="23" t="s">
        <v>314</v>
      </c>
    </row>
    <row r="46" spans="2:8" ht="15" customHeight="1">
      <c r="B46" s="14">
        <v>2026</v>
      </c>
      <c r="C46" s="14" t="s">
        <v>312</v>
      </c>
      <c r="D46" s="28"/>
      <c r="E46" s="14" t="s">
        <v>300</v>
      </c>
      <c r="F46" s="23" t="s">
        <v>315</v>
      </c>
    </row>
    <row r="47" spans="2:8" ht="15" customHeight="1">
      <c r="B47" s="14">
        <v>2027</v>
      </c>
      <c r="C47" s="14" t="s">
        <v>312</v>
      </c>
      <c r="D47" s="28"/>
      <c r="E47" s="14" t="s">
        <v>300</v>
      </c>
      <c r="F47" s="23" t="s">
        <v>316</v>
      </c>
      <c r="G47" s="582"/>
      <c r="H47" s="582"/>
    </row>
    <row r="48" spans="2:8" ht="15" customHeight="1">
      <c r="B48" s="14">
        <v>2028</v>
      </c>
      <c r="C48" s="14" t="s">
        <v>312</v>
      </c>
      <c r="D48" s="28"/>
      <c r="E48" s="14" t="s">
        <v>300</v>
      </c>
      <c r="F48" s="23" t="s">
        <v>317</v>
      </c>
      <c r="G48" s="582"/>
      <c r="H48" s="582"/>
    </row>
    <row r="49" spans="2:8" ht="15" customHeight="1">
      <c r="B49" s="14">
        <v>2029</v>
      </c>
      <c r="C49" s="14" t="s">
        <v>312</v>
      </c>
      <c r="D49" s="28"/>
      <c r="E49" s="14" t="s">
        <v>300</v>
      </c>
      <c r="F49" s="23" t="s">
        <v>318</v>
      </c>
      <c r="G49" s="582"/>
      <c r="H49" s="582"/>
    </row>
    <row r="50" spans="2:8" ht="15" customHeight="1">
      <c r="B50" s="14">
        <v>2030</v>
      </c>
      <c r="C50" s="14" t="s">
        <v>312</v>
      </c>
      <c r="D50" s="28"/>
      <c r="E50" s="14" t="s">
        <v>300</v>
      </c>
      <c r="F50" s="23" t="s">
        <v>319</v>
      </c>
      <c r="G50" s="582"/>
      <c r="H50" s="582"/>
    </row>
    <row r="51" spans="2:8" ht="15" customHeight="1">
      <c r="B51" s="14">
        <v>2024</v>
      </c>
      <c r="C51" s="14" t="s">
        <v>320</v>
      </c>
      <c r="D51" s="16">
        <v>0.38399270099263827</v>
      </c>
      <c r="E51" s="14" t="s">
        <v>300</v>
      </c>
      <c r="F51" s="23" t="s">
        <v>313</v>
      </c>
    </row>
    <row r="52" spans="2:8" ht="15" customHeight="1">
      <c r="B52" s="14">
        <v>2025</v>
      </c>
      <c r="C52" s="14" t="s">
        <v>320</v>
      </c>
      <c r="D52" s="544">
        <v>0.38399270099263827</v>
      </c>
      <c r="E52" s="14" t="s">
        <v>300</v>
      </c>
      <c r="F52" s="23" t="s">
        <v>314</v>
      </c>
    </row>
    <row r="53" spans="2:8" ht="15" customHeight="1">
      <c r="B53" s="14">
        <v>2026</v>
      </c>
      <c r="C53" s="14" t="s">
        <v>320</v>
      </c>
      <c r="D53" s="16"/>
      <c r="E53" s="14" t="s">
        <v>300</v>
      </c>
      <c r="F53" s="23" t="s">
        <v>315</v>
      </c>
    </row>
    <row r="54" spans="2:8" ht="15" customHeight="1">
      <c r="B54" s="14">
        <v>2027</v>
      </c>
      <c r="C54" s="14" t="s">
        <v>320</v>
      </c>
      <c r="D54" s="16"/>
      <c r="E54" s="14" t="s">
        <v>300</v>
      </c>
      <c r="F54" s="23" t="s">
        <v>316</v>
      </c>
    </row>
    <row r="55" spans="2:8" ht="15" customHeight="1">
      <c r="B55" s="14">
        <v>2028</v>
      </c>
      <c r="C55" s="14" t="s">
        <v>320</v>
      </c>
      <c r="D55" s="16"/>
      <c r="E55" s="14" t="s">
        <v>300</v>
      </c>
      <c r="F55" s="23" t="s">
        <v>317</v>
      </c>
    </row>
    <row r="56" spans="2:8" ht="15" customHeight="1">
      <c r="B56" s="14">
        <v>2029</v>
      </c>
      <c r="C56" s="14" t="s">
        <v>320</v>
      </c>
      <c r="D56" s="16"/>
      <c r="E56" s="14" t="s">
        <v>300</v>
      </c>
      <c r="F56" s="23" t="s">
        <v>318</v>
      </c>
    </row>
    <row r="57" spans="2:8" ht="15" customHeight="1">
      <c r="B57" s="14">
        <v>2030</v>
      </c>
      <c r="C57" s="14" t="s">
        <v>320</v>
      </c>
      <c r="D57" s="16"/>
      <c r="E57" s="14" t="s">
        <v>300</v>
      </c>
      <c r="F57" s="23" t="s">
        <v>319</v>
      </c>
    </row>
    <row r="58" spans="2:8" ht="15" customHeight="1">
      <c r="B58" s="14">
        <v>2024</v>
      </c>
      <c r="C58" s="23" t="s">
        <v>321</v>
      </c>
      <c r="D58" s="16">
        <v>0.26644904920528911</v>
      </c>
      <c r="E58" s="14" t="s">
        <v>300</v>
      </c>
      <c r="F58" s="23" t="s">
        <v>313</v>
      </c>
    </row>
    <row r="59" spans="2:8" ht="15" customHeight="1">
      <c r="B59" s="14">
        <v>2025</v>
      </c>
      <c r="C59" s="23" t="s">
        <v>321</v>
      </c>
      <c r="D59" s="544">
        <v>0.26644904920528911</v>
      </c>
      <c r="E59" s="14" t="s">
        <v>300</v>
      </c>
      <c r="F59" s="23" t="s">
        <v>314</v>
      </c>
    </row>
    <row r="60" spans="2:8" ht="15" customHeight="1">
      <c r="B60" s="14">
        <v>2026</v>
      </c>
      <c r="C60" s="23" t="s">
        <v>321</v>
      </c>
      <c r="D60" s="16"/>
      <c r="E60" s="14" t="s">
        <v>300</v>
      </c>
      <c r="F60" s="23" t="s">
        <v>315</v>
      </c>
    </row>
    <row r="61" spans="2:8" ht="15" customHeight="1">
      <c r="B61" s="14">
        <v>2027</v>
      </c>
      <c r="C61" s="23" t="s">
        <v>321</v>
      </c>
      <c r="D61" s="16"/>
      <c r="E61" s="14" t="s">
        <v>300</v>
      </c>
      <c r="F61" s="23" t="s">
        <v>316</v>
      </c>
    </row>
    <row r="62" spans="2:8" ht="15" customHeight="1">
      <c r="B62" s="14">
        <v>2028</v>
      </c>
      <c r="C62" s="23" t="s">
        <v>321</v>
      </c>
      <c r="D62" s="16"/>
      <c r="E62" s="14" t="s">
        <v>300</v>
      </c>
      <c r="F62" s="23" t="s">
        <v>317</v>
      </c>
    </row>
    <row r="63" spans="2:8" ht="15" customHeight="1">
      <c r="B63" s="14">
        <v>2029</v>
      </c>
      <c r="C63" s="23" t="s">
        <v>321</v>
      </c>
      <c r="D63" s="16"/>
      <c r="E63" s="14" t="s">
        <v>300</v>
      </c>
      <c r="F63" s="23" t="s">
        <v>318</v>
      </c>
    </row>
    <row r="64" spans="2:8" ht="15" customHeight="1">
      <c r="B64" s="14">
        <v>2030</v>
      </c>
      <c r="C64" s="23" t="s">
        <v>321</v>
      </c>
      <c r="D64" s="16"/>
      <c r="E64" s="14" t="s">
        <v>300</v>
      </c>
      <c r="F64" s="23" t="s">
        <v>319</v>
      </c>
    </row>
    <row r="65" spans="2:8" ht="15" customHeight="1">
      <c r="B65" s="14">
        <v>2024</v>
      </c>
      <c r="C65" s="14" t="s">
        <v>322</v>
      </c>
      <c r="D65" s="16">
        <v>0.19903817219598607</v>
      </c>
      <c r="E65" s="14" t="s">
        <v>300</v>
      </c>
      <c r="F65" s="23" t="s">
        <v>313</v>
      </c>
    </row>
    <row r="66" spans="2:8" ht="15" customHeight="1">
      <c r="B66" s="14">
        <v>2025</v>
      </c>
      <c r="C66" s="14" t="s">
        <v>322</v>
      </c>
      <c r="D66" s="544">
        <v>0.19903817219598607</v>
      </c>
      <c r="E66" s="14" t="s">
        <v>300</v>
      </c>
      <c r="F66" s="23" t="s">
        <v>314</v>
      </c>
    </row>
    <row r="67" spans="2:8" ht="15" customHeight="1">
      <c r="B67" s="14">
        <v>2026</v>
      </c>
      <c r="C67" s="14" t="s">
        <v>322</v>
      </c>
      <c r="D67" s="16"/>
      <c r="E67" s="14" t="s">
        <v>300</v>
      </c>
      <c r="F67" s="23" t="s">
        <v>315</v>
      </c>
    </row>
    <row r="68" spans="2:8" ht="15" customHeight="1">
      <c r="B68" s="14">
        <v>2027</v>
      </c>
      <c r="C68" s="14" t="s">
        <v>322</v>
      </c>
      <c r="D68" s="16"/>
      <c r="E68" s="14" t="s">
        <v>300</v>
      </c>
      <c r="F68" s="23" t="s">
        <v>316</v>
      </c>
    </row>
    <row r="69" spans="2:8" ht="15" customHeight="1">
      <c r="B69" s="14">
        <v>2028</v>
      </c>
      <c r="C69" s="14" t="s">
        <v>322</v>
      </c>
      <c r="D69" s="16"/>
      <c r="E69" s="14" t="s">
        <v>300</v>
      </c>
      <c r="F69" s="23" t="s">
        <v>317</v>
      </c>
    </row>
    <row r="70" spans="2:8" ht="15" customHeight="1">
      <c r="B70" s="14">
        <v>2029</v>
      </c>
      <c r="C70" s="14" t="s">
        <v>322</v>
      </c>
      <c r="D70" s="16"/>
      <c r="E70" s="14" t="s">
        <v>300</v>
      </c>
      <c r="F70" s="23" t="s">
        <v>318</v>
      </c>
    </row>
    <row r="71" spans="2:8" ht="15" customHeight="1">
      <c r="B71" s="14">
        <v>2030</v>
      </c>
      <c r="C71" s="14" t="s">
        <v>322</v>
      </c>
      <c r="D71" s="16"/>
      <c r="E71" s="14" t="s">
        <v>300</v>
      </c>
      <c r="F71" s="23" t="s">
        <v>319</v>
      </c>
    </row>
    <row r="72" spans="2:8" ht="15" customHeight="1">
      <c r="B72" s="14">
        <v>2024</v>
      </c>
      <c r="C72" s="23" t="s">
        <v>323</v>
      </c>
      <c r="D72" s="16">
        <v>0.27868536840595204</v>
      </c>
      <c r="E72" s="14" t="s">
        <v>300</v>
      </c>
      <c r="F72" s="23" t="s">
        <v>313</v>
      </c>
      <c r="H72" s="61"/>
    </row>
    <row r="73" spans="2:8" ht="15" customHeight="1">
      <c r="B73" s="14">
        <v>2025</v>
      </c>
      <c r="C73" s="23" t="s">
        <v>323</v>
      </c>
      <c r="D73" s="544">
        <v>0.27868536840595204</v>
      </c>
      <c r="E73" s="14" t="s">
        <v>300</v>
      </c>
      <c r="F73" s="23" t="s">
        <v>314</v>
      </c>
    </row>
    <row r="74" spans="2:8" ht="15" customHeight="1">
      <c r="B74" s="14">
        <v>2026</v>
      </c>
      <c r="C74" s="23" t="s">
        <v>323</v>
      </c>
      <c r="D74" s="16"/>
      <c r="E74" s="14" t="s">
        <v>300</v>
      </c>
      <c r="F74" s="23" t="s">
        <v>315</v>
      </c>
    </row>
    <row r="75" spans="2:8" ht="15" customHeight="1">
      <c r="B75" s="14">
        <v>2027</v>
      </c>
      <c r="C75" s="23" t="s">
        <v>323</v>
      </c>
      <c r="D75" s="16"/>
      <c r="E75" s="14" t="s">
        <v>300</v>
      </c>
      <c r="F75" s="23" t="s">
        <v>316</v>
      </c>
    </row>
    <row r="76" spans="2:8" ht="15" customHeight="1">
      <c r="B76" s="14">
        <v>2028</v>
      </c>
      <c r="C76" s="23" t="s">
        <v>323</v>
      </c>
      <c r="D76" s="16"/>
      <c r="E76" s="14" t="s">
        <v>300</v>
      </c>
      <c r="F76" s="23" t="s">
        <v>317</v>
      </c>
    </row>
    <row r="77" spans="2:8" ht="15" customHeight="1">
      <c r="B77" s="14">
        <v>2029</v>
      </c>
      <c r="C77" s="23" t="s">
        <v>323</v>
      </c>
      <c r="D77" s="16"/>
      <c r="E77" s="14" t="s">
        <v>300</v>
      </c>
      <c r="F77" s="23" t="s">
        <v>318</v>
      </c>
    </row>
    <row r="78" spans="2:8" ht="15" customHeight="1">
      <c r="B78" s="14">
        <v>2030</v>
      </c>
      <c r="C78" s="23" t="s">
        <v>323</v>
      </c>
      <c r="D78" s="16"/>
      <c r="E78" s="14" t="s">
        <v>300</v>
      </c>
      <c r="F78" s="23" t="s">
        <v>319</v>
      </c>
    </row>
    <row r="79" spans="2:8" ht="15" customHeight="1">
      <c r="B79" s="14">
        <v>2024</v>
      </c>
      <c r="C79" s="23" t="s">
        <v>324</v>
      </c>
      <c r="D79" s="16">
        <v>0.2286748953871344</v>
      </c>
      <c r="E79" s="14" t="s">
        <v>300</v>
      </c>
      <c r="F79" s="23" t="s">
        <v>313</v>
      </c>
    </row>
    <row r="80" spans="2:8" ht="15" customHeight="1">
      <c r="B80" s="14">
        <v>2025</v>
      </c>
      <c r="C80" s="23" t="s">
        <v>324</v>
      </c>
      <c r="D80" s="544">
        <v>0.2286748953871344</v>
      </c>
      <c r="E80" s="14" t="s">
        <v>300</v>
      </c>
      <c r="F80" s="23" t="s">
        <v>314</v>
      </c>
    </row>
    <row r="81" spans="2:6" ht="15" customHeight="1">
      <c r="B81" s="14">
        <v>2026</v>
      </c>
      <c r="C81" s="23" t="s">
        <v>324</v>
      </c>
      <c r="D81" s="16"/>
      <c r="E81" s="14" t="s">
        <v>300</v>
      </c>
      <c r="F81" s="23" t="s">
        <v>315</v>
      </c>
    </row>
    <row r="82" spans="2:6" ht="15" customHeight="1">
      <c r="B82" s="14">
        <v>2027</v>
      </c>
      <c r="C82" s="23" t="s">
        <v>324</v>
      </c>
      <c r="D82" s="16"/>
      <c r="E82" s="14" t="s">
        <v>300</v>
      </c>
      <c r="F82" s="23" t="s">
        <v>316</v>
      </c>
    </row>
    <row r="83" spans="2:6" ht="15" customHeight="1">
      <c r="B83" s="14">
        <v>2028</v>
      </c>
      <c r="C83" s="23" t="s">
        <v>324</v>
      </c>
      <c r="D83" s="16"/>
      <c r="E83" s="14" t="s">
        <v>300</v>
      </c>
      <c r="F83" s="23" t="s">
        <v>317</v>
      </c>
    </row>
    <row r="84" spans="2:6" ht="15" customHeight="1">
      <c r="B84" s="14">
        <v>2029</v>
      </c>
      <c r="C84" s="23" t="s">
        <v>324</v>
      </c>
      <c r="D84" s="16"/>
      <c r="E84" s="14" t="s">
        <v>300</v>
      </c>
      <c r="F84" s="23" t="s">
        <v>318</v>
      </c>
    </row>
    <row r="85" spans="2:6" ht="15" customHeight="1">
      <c r="B85" s="14">
        <v>2030</v>
      </c>
      <c r="C85" s="23" t="s">
        <v>324</v>
      </c>
      <c r="D85" s="16"/>
      <c r="E85" s="14" t="s">
        <v>300</v>
      </c>
      <c r="F85" s="23" t="s">
        <v>319</v>
      </c>
    </row>
    <row r="87" spans="2:6" ht="15" customHeight="1">
      <c r="B87" s="8" t="s">
        <v>325</v>
      </c>
      <c r="C87" s="9"/>
    </row>
    <row r="88" spans="2:6" ht="15" customHeight="1">
      <c r="B88" s="11" t="s">
        <v>288</v>
      </c>
      <c r="C88" s="11" t="s">
        <v>326</v>
      </c>
      <c r="D88" s="12" t="s">
        <v>290</v>
      </c>
      <c r="E88" s="12" t="s">
        <v>291</v>
      </c>
      <c r="F88" s="29" t="s">
        <v>292</v>
      </c>
    </row>
    <row r="89" spans="2:6" ht="15" customHeight="1">
      <c r="B89" s="14">
        <v>2024</v>
      </c>
      <c r="C89" s="30" t="s">
        <v>327</v>
      </c>
      <c r="D89" s="16">
        <v>2.2539486753055447</v>
      </c>
      <c r="E89" s="14" t="s">
        <v>328</v>
      </c>
      <c r="F89" s="23" t="s">
        <v>329</v>
      </c>
    </row>
    <row r="90" spans="2:6" ht="15" customHeight="1">
      <c r="B90" s="14">
        <v>2025</v>
      </c>
      <c r="C90" s="30" t="s">
        <v>327</v>
      </c>
      <c r="D90" s="544">
        <v>2.2539486753055447</v>
      </c>
      <c r="E90" s="14" t="s">
        <v>328</v>
      </c>
      <c r="F90" s="23" t="s">
        <v>314</v>
      </c>
    </row>
    <row r="91" spans="2:6" ht="15" customHeight="1">
      <c r="B91" s="14">
        <v>2026</v>
      </c>
      <c r="C91" s="30" t="s">
        <v>327</v>
      </c>
      <c r="D91" s="18"/>
      <c r="E91" s="14" t="s">
        <v>328</v>
      </c>
      <c r="F91" s="23" t="s">
        <v>315</v>
      </c>
    </row>
    <row r="92" spans="2:6" ht="15" customHeight="1">
      <c r="B92" s="14">
        <v>2027</v>
      </c>
      <c r="C92" s="30" t="s">
        <v>327</v>
      </c>
      <c r="D92" s="18"/>
      <c r="E92" s="14" t="s">
        <v>328</v>
      </c>
      <c r="F92" s="23" t="s">
        <v>316</v>
      </c>
    </row>
    <row r="93" spans="2:6" ht="15" customHeight="1">
      <c r="B93" s="14">
        <v>2028</v>
      </c>
      <c r="C93" s="30" t="s">
        <v>327</v>
      </c>
      <c r="D93" s="18"/>
      <c r="E93" s="14" t="s">
        <v>328</v>
      </c>
      <c r="F93" s="23" t="s">
        <v>317</v>
      </c>
    </row>
    <row r="94" spans="2:6" ht="15" customHeight="1">
      <c r="B94" s="14">
        <v>2029</v>
      </c>
      <c r="C94" s="30" t="s">
        <v>327</v>
      </c>
      <c r="D94" s="18"/>
      <c r="E94" s="14" t="s">
        <v>328</v>
      </c>
      <c r="F94" s="23" t="s">
        <v>318</v>
      </c>
    </row>
    <row r="95" spans="2:6" ht="15" customHeight="1">
      <c r="B95" s="14">
        <v>2030</v>
      </c>
      <c r="C95" s="30" t="s">
        <v>327</v>
      </c>
      <c r="D95" s="18"/>
      <c r="E95" s="14" t="s">
        <v>328</v>
      </c>
      <c r="F95" s="23" t="s">
        <v>319</v>
      </c>
    </row>
    <row r="96" spans="2:6" ht="15" customHeight="1">
      <c r="B96" s="14">
        <v>2024</v>
      </c>
      <c r="C96" s="30" t="s">
        <v>330</v>
      </c>
      <c r="D96" s="16">
        <v>2.2549568873893024</v>
      </c>
      <c r="E96" s="23" t="s">
        <v>328</v>
      </c>
      <c r="F96" s="23" t="s">
        <v>329</v>
      </c>
    </row>
    <row r="97" spans="2:6" ht="15" customHeight="1">
      <c r="B97" s="14">
        <v>2025</v>
      </c>
      <c r="C97" s="30" t="s">
        <v>330</v>
      </c>
      <c r="D97" s="544">
        <v>2.2549568873893024</v>
      </c>
      <c r="E97" s="23" t="s">
        <v>328</v>
      </c>
      <c r="F97" s="23" t="s">
        <v>314</v>
      </c>
    </row>
    <row r="98" spans="2:6" ht="15" customHeight="1">
      <c r="B98" s="14">
        <v>2026</v>
      </c>
      <c r="C98" s="30" t="s">
        <v>330</v>
      </c>
      <c r="D98" s="18"/>
      <c r="E98" s="23" t="s">
        <v>328</v>
      </c>
      <c r="F98" s="23" t="s">
        <v>315</v>
      </c>
    </row>
    <row r="99" spans="2:6" ht="15" customHeight="1">
      <c r="B99" s="14">
        <v>2027</v>
      </c>
      <c r="C99" s="30" t="s">
        <v>330</v>
      </c>
      <c r="D99" s="18"/>
      <c r="E99" s="23" t="s">
        <v>328</v>
      </c>
      <c r="F99" s="23" t="s">
        <v>316</v>
      </c>
    </row>
    <row r="100" spans="2:6" ht="15" customHeight="1">
      <c r="B100" s="14">
        <v>2028</v>
      </c>
      <c r="C100" s="30" t="s">
        <v>330</v>
      </c>
      <c r="D100" s="18"/>
      <c r="E100" s="23" t="s">
        <v>328</v>
      </c>
      <c r="F100" s="23" t="s">
        <v>317</v>
      </c>
    </row>
    <row r="101" spans="2:6" ht="15" customHeight="1">
      <c r="B101" s="14">
        <v>2029</v>
      </c>
      <c r="C101" s="30" t="s">
        <v>330</v>
      </c>
      <c r="D101" s="18"/>
      <c r="E101" s="23" t="s">
        <v>328</v>
      </c>
      <c r="F101" s="23" t="s">
        <v>318</v>
      </c>
    </row>
    <row r="102" spans="2:6" ht="15" customHeight="1">
      <c r="B102" s="14">
        <v>2030</v>
      </c>
      <c r="C102" s="30" t="s">
        <v>330</v>
      </c>
      <c r="D102" s="18"/>
      <c r="E102" s="23" t="s">
        <v>328</v>
      </c>
      <c r="F102" s="23" t="s">
        <v>319</v>
      </c>
    </row>
    <row r="103" spans="2:6" ht="15" customHeight="1">
      <c r="B103" s="14">
        <v>2024</v>
      </c>
      <c r="C103" s="30" t="s">
        <v>331</v>
      </c>
      <c r="D103" s="16">
        <v>1.7253427429581001E-2</v>
      </c>
      <c r="E103" s="23" t="s">
        <v>332</v>
      </c>
      <c r="F103" s="23" t="s">
        <v>333</v>
      </c>
    </row>
    <row r="104" spans="2:6" ht="15" customHeight="1">
      <c r="B104" s="14">
        <v>2025</v>
      </c>
      <c r="C104" s="30" t="s">
        <v>331</v>
      </c>
      <c r="D104" s="544">
        <v>1.7253427429581001E-2</v>
      </c>
      <c r="E104" s="23" t="s">
        <v>332</v>
      </c>
      <c r="F104" s="23" t="s">
        <v>314</v>
      </c>
    </row>
    <row r="105" spans="2:6" ht="15" customHeight="1">
      <c r="B105" s="14">
        <v>2026</v>
      </c>
      <c r="C105" s="30" t="s">
        <v>331</v>
      </c>
      <c r="D105" s="18"/>
      <c r="E105" s="23" t="s">
        <v>332</v>
      </c>
      <c r="F105" s="23" t="s">
        <v>315</v>
      </c>
    </row>
    <row r="106" spans="2:6" ht="15" customHeight="1">
      <c r="B106" s="14">
        <v>2027</v>
      </c>
      <c r="C106" s="30" t="s">
        <v>331</v>
      </c>
      <c r="D106" s="18"/>
      <c r="E106" s="23" t="s">
        <v>332</v>
      </c>
      <c r="F106" s="23" t="s">
        <v>316</v>
      </c>
    </row>
    <row r="107" spans="2:6" ht="15" customHeight="1">
      <c r="B107" s="14">
        <v>2028</v>
      </c>
      <c r="C107" s="30" t="s">
        <v>331</v>
      </c>
      <c r="D107" s="18"/>
      <c r="E107" s="23" t="s">
        <v>332</v>
      </c>
      <c r="F107" s="23" t="s">
        <v>317</v>
      </c>
    </row>
    <row r="108" spans="2:6" ht="15" customHeight="1">
      <c r="B108" s="14">
        <v>2029</v>
      </c>
      <c r="C108" s="30" t="s">
        <v>331</v>
      </c>
      <c r="D108" s="18"/>
      <c r="E108" s="23" t="s">
        <v>332</v>
      </c>
      <c r="F108" s="23" t="s">
        <v>318</v>
      </c>
    </row>
    <row r="109" spans="2:6" ht="15" customHeight="1">
      <c r="B109" s="14">
        <v>2030</v>
      </c>
      <c r="C109" s="30" t="s">
        <v>331</v>
      </c>
      <c r="D109" s="18"/>
      <c r="E109" s="23" t="s">
        <v>332</v>
      </c>
      <c r="F109" s="23" t="s">
        <v>319</v>
      </c>
    </row>
    <row r="110" spans="2:6" ht="15" customHeight="1">
      <c r="B110" s="14">
        <v>2024</v>
      </c>
      <c r="C110" s="30" t="s">
        <v>334</v>
      </c>
      <c r="D110" s="16">
        <v>2.648845717478129</v>
      </c>
      <c r="E110" s="23" t="s">
        <v>328</v>
      </c>
      <c r="F110" s="23" t="s">
        <v>335</v>
      </c>
    </row>
    <row r="111" spans="2:6" ht="15" customHeight="1">
      <c r="B111" s="14">
        <v>2025</v>
      </c>
      <c r="C111" s="30" t="s">
        <v>334</v>
      </c>
      <c r="D111" s="544">
        <v>2.648845717478129</v>
      </c>
      <c r="E111" s="23" t="s">
        <v>328</v>
      </c>
      <c r="F111" s="23" t="s">
        <v>314</v>
      </c>
    </row>
    <row r="112" spans="2:6" ht="15" customHeight="1">
      <c r="B112" s="14">
        <v>2026</v>
      </c>
      <c r="C112" s="30" t="s">
        <v>334</v>
      </c>
      <c r="D112" s="18"/>
      <c r="E112" s="23" t="s">
        <v>328</v>
      </c>
      <c r="F112" s="23" t="s">
        <v>315</v>
      </c>
    </row>
    <row r="113" spans="2:6" ht="15" customHeight="1">
      <c r="B113" s="14">
        <v>2027</v>
      </c>
      <c r="C113" s="30" t="s">
        <v>334</v>
      </c>
      <c r="D113" s="18"/>
      <c r="E113" s="23" t="s">
        <v>328</v>
      </c>
      <c r="F113" s="23" t="s">
        <v>316</v>
      </c>
    </row>
    <row r="114" spans="2:6" ht="15" customHeight="1">
      <c r="B114" s="14">
        <v>2028</v>
      </c>
      <c r="C114" s="30" t="s">
        <v>334</v>
      </c>
      <c r="D114" s="18"/>
      <c r="E114" s="23" t="s">
        <v>328</v>
      </c>
      <c r="F114" s="23" t="s">
        <v>317</v>
      </c>
    </row>
    <row r="115" spans="2:6" ht="15" customHeight="1">
      <c r="B115" s="14">
        <v>2029</v>
      </c>
      <c r="C115" s="30" t="s">
        <v>334</v>
      </c>
      <c r="D115" s="18"/>
      <c r="E115" s="23" t="s">
        <v>328</v>
      </c>
      <c r="F115" s="23" t="s">
        <v>318</v>
      </c>
    </row>
    <row r="116" spans="2:6" ht="15" customHeight="1">
      <c r="B116" s="14">
        <v>2030</v>
      </c>
      <c r="C116" s="30" t="s">
        <v>334</v>
      </c>
      <c r="D116" s="18"/>
      <c r="E116" s="23" t="s">
        <v>328</v>
      </c>
      <c r="F116" s="23" t="s">
        <v>319</v>
      </c>
    </row>
    <row r="117" spans="2:6" ht="15" customHeight="1">
      <c r="B117" s="14">
        <v>2024</v>
      </c>
      <c r="C117" s="30" t="s">
        <v>336</v>
      </c>
      <c r="D117" s="16">
        <v>2.6315840053775625</v>
      </c>
      <c r="E117" s="23" t="s">
        <v>328</v>
      </c>
      <c r="F117" s="23" t="s">
        <v>335</v>
      </c>
    </row>
    <row r="118" spans="2:6" ht="15" customHeight="1">
      <c r="B118" s="14">
        <v>2025</v>
      </c>
      <c r="C118" s="30" t="s">
        <v>336</v>
      </c>
      <c r="D118" s="544">
        <v>2.6315840053775625</v>
      </c>
      <c r="E118" s="23" t="s">
        <v>328</v>
      </c>
      <c r="F118" s="23" t="s">
        <v>314</v>
      </c>
    </row>
    <row r="119" spans="2:6" ht="15" customHeight="1">
      <c r="B119" s="14">
        <v>2026</v>
      </c>
      <c r="C119" s="30" t="s">
        <v>336</v>
      </c>
      <c r="D119" s="18"/>
      <c r="E119" s="23" t="s">
        <v>328</v>
      </c>
      <c r="F119" s="23" t="s">
        <v>315</v>
      </c>
    </row>
    <row r="120" spans="2:6" ht="15" customHeight="1">
      <c r="B120" s="14">
        <v>2027</v>
      </c>
      <c r="C120" s="30" t="s">
        <v>336</v>
      </c>
      <c r="D120" s="18"/>
      <c r="E120" s="23" t="s">
        <v>328</v>
      </c>
      <c r="F120" s="23" t="s">
        <v>316</v>
      </c>
    </row>
    <row r="121" spans="2:6" ht="15" customHeight="1">
      <c r="B121" s="14">
        <v>2028</v>
      </c>
      <c r="C121" s="30" t="s">
        <v>336</v>
      </c>
      <c r="D121" s="18"/>
      <c r="E121" s="23" t="s">
        <v>328</v>
      </c>
      <c r="F121" s="23" t="s">
        <v>317</v>
      </c>
    </row>
    <row r="122" spans="2:6" ht="15" customHeight="1">
      <c r="B122" s="14">
        <v>2029</v>
      </c>
      <c r="C122" s="30" t="s">
        <v>336</v>
      </c>
      <c r="D122" s="18"/>
      <c r="E122" s="23" t="s">
        <v>328</v>
      </c>
      <c r="F122" s="23" t="s">
        <v>318</v>
      </c>
    </row>
    <row r="123" spans="2:6" ht="15" customHeight="1">
      <c r="B123" s="14">
        <v>2030</v>
      </c>
      <c r="C123" s="30" t="s">
        <v>336</v>
      </c>
      <c r="D123" s="18"/>
      <c r="E123" s="23" t="s">
        <v>328</v>
      </c>
      <c r="F123" s="23" t="s">
        <v>319</v>
      </c>
    </row>
    <row r="124" spans="2:6" ht="15" customHeight="1">
      <c r="B124" s="14">
        <v>2024</v>
      </c>
      <c r="C124" s="30" t="s">
        <v>337</v>
      </c>
      <c r="D124" s="16">
        <v>2.6372619308341347</v>
      </c>
      <c r="E124" s="23" t="s">
        <v>328</v>
      </c>
      <c r="F124" s="23" t="s">
        <v>335</v>
      </c>
    </row>
    <row r="125" spans="2:6" ht="15" customHeight="1">
      <c r="B125" s="14">
        <v>2025</v>
      </c>
      <c r="C125" s="30" t="s">
        <v>337</v>
      </c>
      <c r="D125" s="544">
        <v>2.6372619308341347</v>
      </c>
      <c r="E125" s="23" t="s">
        <v>328</v>
      </c>
      <c r="F125" s="23" t="s">
        <v>314</v>
      </c>
    </row>
    <row r="126" spans="2:6" ht="15" customHeight="1">
      <c r="B126" s="14">
        <v>2026</v>
      </c>
      <c r="C126" s="30" t="s">
        <v>337</v>
      </c>
      <c r="D126" s="18"/>
      <c r="E126" s="23" t="s">
        <v>328</v>
      </c>
      <c r="F126" s="23" t="s">
        <v>315</v>
      </c>
    </row>
    <row r="127" spans="2:6" ht="15" customHeight="1">
      <c r="B127" s="14">
        <v>2027</v>
      </c>
      <c r="C127" s="30" t="s">
        <v>337</v>
      </c>
      <c r="D127" s="18"/>
      <c r="E127" s="23" t="s">
        <v>328</v>
      </c>
      <c r="F127" s="23" t="s">
        <v>316</v>
      </c>
    </row>
    <row r="128" spans="2:6" ht="15" customHeight="1">
      <c r="B128" s="14">
        <v>2028</v>
      </c>
      <c r="C128" s="30" t="s">
        <v>337</v>
      </c>
      <c r="D128" s="18"/>
      <c r="E128" s="23" t="s">
        <v>328</v>
      </c>
      <c r="F128" s="23" t="s">
        <v>317</v>
      </c>
    </row>
    <row r="129" spans="2:6" ht="15" customHeight="1">
      <c r="B129" s="14">
        <v>2029</v>
      </c>
      <c r="C129" s="30" t="s">
        <v>337</v>
      </c>
      <c r="D129" s="18"/>
      <c r="E129" s="23" t="s">
        <v>328</v>
      </c>
      <c r="F129" s="23" t="s">
        <v>318</v>
      </c>
    </row>
    <row r="130" spans="2:6" ht="15" customHeight="1">
      <c r="B130" s="14">
        <v>2030</v>
      </c>
      <c r="C130" s="30" t="s">
        <v>337</v>
      </c>
      <c r="D130" s="18"/>
      <c r="E130" s="23" t="s">
        <v>328</v>
      </c>
      <c r="F130" s="23" t="s">
        <v>319</v>
      </c>
    </row>
    <row r="131" spans="2:6" ht="15" customHeight="1">
      <c r="B131" s="14">
        <v>2024</v>
      </c>
      <c r="C131" s="30" t="s">
        <v>338</v>
      </c>
      <c r="D131" s="16">
        <v>2.7248300940962475</v>
      </c>
      <c r="E131" s="23" t="s">
        <v>332</v>
      </c>
      <c r="F131" s="23" t="s">
        <v>333</v>
      </c>
    </row>
    <row r="132" spans="2:6" ht="15" customHeight="1">
      <c r="B132" s="14">
        <v>2025</v>
      </c>
      <c r="C132" s="30" t="s">
        <v>338</v>
      </c>
      <c r="D132" s="544">
        <v>2.7248300940962475</v>
      </c>
      <c r="E132" s="23" t="s">
        <v>332</v>
      </c>
      <c r="F132" s="23" t="s">
        <v>314</v>
      </c>
    </row>
    <row r="133" spans="2:6" ht="15" customHeight="1">
      <c r="B133" s="14">
        <v>2026</v>
      </c>
      <c r="C133" s="30" t="s">
        <v>338</v>
      </c>
      <c r="D133" s="18"/>
      <c r="E133" s="23" t="s">
        <v>332</v>
      </c>
      <c r="F133" s="23" t="s">
        <v>315</v>
      </c>
    </row>
    <row r="134" spans="2:6" ht="15" customHeight="1">
      <c r="B134" s="14">
        <v>2027</v>
      </c>
      <c r="C134" s="30" t="s">
        <v>338</v>
      </c>
      <c r="D134" s="18"/>
      <c r="E134" s="23" t="s">
        <v>332</v>
      </c>
      <c r="F134" s="23" t="s">
        <v>316</v>
      </c>
    </row>
    <row r="135" spans="2:6" ht="15" customHeight="1">
      <c r="B135" s="14">
        <v>2028</v>
      </c>
      <c r="C135" s="30" t="s">
        <v>338</v>
      </c>
      <c r="D135" s="18"/>
      <c r="E135" s="23" t="s">
        <v>332</v>
      </c>
      <c r="F135" s="23" t="s">
        <v>317</v>
      </c>
    </row>
    <row r="136" spans="2:6" ht="15" customHeight="1">
      <c r="B136" s="14">
        <v>2029</v>
      </c>
      <c r="C136" s="30" t="s">
        <v>338</v>
      </c>
      <c r="D136" s="18"/>
      <c r="E136" s="23" t="s">
        <v>332</v>
      </c>
      <c r="F136" s="23" t="s">
        <v>318</v>
      </c>
    </row>
    <row r="137" spans="2:6" ht="15" customHeight="1">
      <c r="B137" s="14">
        <v>2030</v>
      </c>
      <c r="C137" s="30" t="s">
        <v>338</v>
      </c>
      <c r="D137" s="18"/>
      <c r="E137" s="23" t="s">
        <v>332</v>
      </c>
      <c r="F137" s="23" t="s">
        <v>319</v>
      </c>
    </row>
    <row r="138" spans="2:6" ht="15" customHeight="1">
      <c r="C138" s="30" t="s">
        <v>339</v>
      </c>
      <c r="D138" s="16">
        <v>0</v>
      </c>
      <c r="E138" s="23" t="s">
        <v>340</v>
      </c>
      <c r="F138" s="23" t="s">
        <v>341</v>
      </c>
    </row>
    <row r="139" spans="2:6" ht="15" customHeight="1">
      <c r="B139" s="14">
        <v>2024</v>
      </c>
      <c r="C139" s="31" t="s">
        <v>342</v>
      </c>
      <c r="D139" s="26">
        <f>segajääk_2024</f>
        <v>0.71165999999999996</v>
      </c>
      <c r="E139" s="23" t="s">
        <v>294</v>
      </c>
      <c r="F139" s="23" t="s">
        <v>295</v>
      </c>
    </row>
    <row r="140" spans="2:6" ht="15" customHeight="1">
      <c r="B140" s="14">
        <v>2025</v>
      </c>
      <c r="C140" s="31" t="s">
        <v>342</v>
      </c>
      <c r="D140" s="26">
        <f>segajääk_2025</f>
        <v>0.71165999999999996</v>
      </c>
      <c r="E140" s="23" t="s">
        <v>294</v>
      </c>
      <c r="F140" s="23" t="s">
        <v>343</v>
      </c>
    </row>
    <row r="141" spans="2:6" ht="15" customHeight="1">
      <c r="B141" s="14">
        <v>2026</v>
      </c>
      <c r="C141" s="31" t="s">
        <v>342</v>
      </c>
      <c r="D141" s="26">
        <f>segajääk_2026</f>
        <v>0</v>
      </c>
      <c r="E141" s="23" t="s">
        <v>294</v>
      </c>
      <c r="F141" s="23" t="s">
        <v>344</v>
      </c>
    </row>
    <row r="142" spans="2:6" ht="15" customHeight="1">
      <c r="B142" s="14">
        <v>2027</v>
      </c>
      <c r="C142" s="31" t="s">
        <v>342</v>
      </c>
      <c r="D142" s="26">
        <f>segajääk_2027</f>
        <v>0</v>
      </c>
      <c r="E142" s="23" t="s">
        <v>294</v>
      </c>
      <c r="F142" s="23" t="s">
        <v>345</v>
      </c>
    </row>
    <row r="143" spans="2:6" ht="15" customHeight="1">
      <c r="B143" s="14">
        <v>2028</v>
      </c>
      <c r="C143" s="31" t="s">
        <v>342</v>
      </c>
      <c r="D143" s="26">
        <f>segajääk_2028</f>
        <v>0</v>
      </c>
      <c r="E143" s="23" t="s">
        <v>294</v>
      </c>
      <c r="F143" s="23" t="s">
        <v>346</v>
      </c>
    </row>
    <row r="144" spans="2:6" ht="15" customHeight="1">
      <c r="B144" s="14">
        <v>2029</v>
      </c>
      <c r="C144" s="31" t="s">
        <v>342</v>
      </c>
      <c r="D144" s="26">
        <f>segajääk_2029</f>
        <v>0</v>
      </c>
      <c r="E144" s="23" t="s">
        <v>294</v>
      </c>
      <c r="F144" s="23" t="s">
        <v>347</v>
      </c>
    </row>
    <row r="145" spans="2:6" ht="15" customHeight="1">
      <c r="B145" s="14">
        <v>2030</v>
      </c>
      <c r="C145" s="31" t="s">
        <v>342</v>
      </c>
      <c r="D145" s="26">
        <f>segajääk_2030</f>
        <v>0</v>
      </c>
      <c r="E145" s="23" t="s">
        <v>294</v>
      </c>
      <c r="F145" s="23" t="s">
        <v>348</v>
      </c>
    </row>
    <row r="146" spans="2:6" ht="15" customHeight="1">
      <c r="B146" s="21"/>
    </row>
    <row r="148" spans="2:6" ht="15" customHeight="1">
      <c r="B148" s="8" t="s">
        <v>349</v>
      </c>
      <c r="C148" s="9"/>
    </row>
    <row r="149" spans="2:6" ht="15" customHeight="1">
      <c r="B149" s="32" t="s">
        <v>350</v>
      </c>
      <c r="C149" s="33"/>
      <c r="D149" s="34" t="s">
        <v>351</v>
      </c>
      <c r="E149" s="35" t="s">
        <v>292</v>
      </c>
    </row>
    <row r="150" spans="2:6" ht="15" customHeight="1">
      <c r="B150" s="36"/>
      <c r="C150" s="37"/>
      <c r="D150" s="38" t="s">
        <v>352</v>
      </c>
      <c r="E150" s="39"/>
    </row>
    <row r="151" spans="2:6" ht="15" customHeight="1">
      <c r="B151" s="40"/>
      <c r="C151" s="41"/>
      <c r="D151" s="42" t="s">
        <v>353</v>
      </c>
      <c r="E151" s="43"/>
    </row>
    <row r="152" spans="2:6" ht="15" customHeight="1">
      <c r="B152" s="30" t="s">
        <v>354</v>
      </c>
      <c r="C152" s="44"/>
      <c r="D152" s="45">
        <v>1300</v>
      </c>
      <c r="E152" s="23" t="s">
        <v>355</v>
      </c>
    </row>
    <row r="153" spans="2:6" ht="15" customHeight="1">
      <c r="B153" s="30" t="s">
        <v>356</v>
      </c>
      <c r="C153" s="44"/>
      <c r="D153" s="45">
        <v>3942.8</v>
      </c>
      <c r="E153" s="23" t="s">
        <v>355</v>
      </c>
    </row>
    <row r="154" spans="2:6" ht="15" customHeight="1">
      <c r="B154" s="30" t="s">
        <v>357</v>
      </c>
      <c r="C154" s="44"/>
      <c r="D154" s="45">
        <v>1923.4</v>
      </c>
      <c r="E154" s="23" t="s">
        <v>355</v>
      </c>
    </row>
    <row r="155" spans="2:6" ht="15" customHeight="1">
      <c r="B155" s="30" t="s">
        <v>358</v>
      </c>
      <c r="C155" s="44"/>
      <c r="D155" s="45">
        <v>1624.3</v>
      </c>
      <c r="E155" s="23" t="s">
        <v>355</v>
      </c>
    </row>
    <row r="156" spans="2:6" ht="15" customHeight="1">
      <c r="B156" s="30" t="s">
        <v>359</v>
      </c>
      <c r="C156" s="44"/>
      <c r="D156" s="45">
        <v>1674.1</v>
      </c>
      <c r="E156" s="23" t="s">
        <v>355</v>
      </c>
    </row>
    <row r="157" spans="2:6" ht="15" customHeight="1">
      <c r="B157" s="30" t="s">
        <v>360</v>
      </c>
      <c r="C157" s="44"/>
      <c r="D157" s="45">
        <v>1923.5</v>
      </c>
      <c r="E157" s="23" t="s">
        <v>355</v>
      </c>
    </row>
    <row r="158" spans="2:6" ht="15" customHeight="1">
      <c r="B158" s="30" t="s">
        <v>361</v>
      </c>
      <c r="C158" s="44"/>
      <c r="D158" s="45">
        <v>2127.4</v>
      </c>
      <c r="E158" s="23" t="s">
        <v>355</v>
      </c>
    </row>
    <row r="159" spans="2:6" ht="15" customHeight="1">
      <c r="B159" s="30" t="s">
        <v>362</v>
      </c>
      <c r="C159" s="44"/>
      <c r="D159" s="45">
        <v>2847.2999999999997</v>
      </c>
      <c r="E159" s="23" t="s">
        <v>355</v>
      </c>
    </row>
    <row r="160" spans="2:6" ht="15" customHeight="1">
      <c r="B160" s="30" t="s">
        <v>363</v>
      </c>
      <c r="C160" s="44"/>
      <c r="D160" s="45">
        <v>2473.2999999999997</v>
      </c>
      <c r="E160" s="23" t="s">
        <v>355</v>
      </c>
    </row>
    <row r="161" spans="2:6" ht="15" customHeight="1">
      <c r="B161" s="30" t="s">
        <v>364</v>
      </c>
      <c r="C161" s="44"/>
      <c r="D161" s="45">
        <v>2024.1</v>
      </c>
      <c r="E161" s="23" t="s">
        <v>355</v>
      </c>
    </row>
    <row r="162" spans="2:6" ht="15" customHeight="1">
      <c r="B162" s="30" t="s">
        <v>365</v>
      </c>
      <c r="C162" s="44"/>
      <c r="D162" s="45">
        <v>3985</v>
      </c>
      <c r="E162" s="23" t="s">
        <v>355</v>
      </c>
    </row>
    <row r="163" spans="2:6" ht="15" customHeight="1">
      <c r="B163" s="46" t="s">
        <v>366</v>
      </c>
      <c r="C163" s="46"/>
    </row>
    <row r="166" spans="2:6" ht="15" customHeight="1">
      <c r="B166" s="8" t="s">
        <v>367</v>
      </c>
      <c r="C166" s="50"/>
    </row>
    <row r="167" spans="2:6" ht="15" customHeight="1">
      <c r="B167" s="11"/>
      <c r="C167" s="51"/>
      <c r="D167" s="52" t="s">
        <v>368</v>
      </c>
      <c r="E167" s="12" t="s">
        <v>291</v>
      </c>
      <c r="F167" s="29" t="s">
        <v>292</v>
      </c>
    </row>
    <row r="168" spans="2:6" ht="15" customHeight="1">
      <c r="B168" s="30" t="s">
        <v>369</v>
      </c>
      <c r="C168" s="44"/>
      <c r="D168" s="16">
        <v>0.5739778220664864</v>
      </c>
      <c r="E168" s="23" t="s">
        <v>370</v>
      </c>
      <c r="F168" s="53" t="s">
        <v>371</v>
      </c>
    </row>
    <row r="169" spans="2:6" ht="15" customHeight="1">
      <c r="B169" s="30" t="s">
        <v>372</v>
      </c>
      <c r="C169" s="583"/>
      <c r="D169" s="16">
        <v>5.12559378</v>
      </c>
      <c r="E169" s="44" t="s">
        <v>101</v>
      </c>
      <c r="F169" s="23" t="s">
        <v>373</v>
      </c>
    </row>
    <row r="172" spans="2:6" ht="15" customHeight="1">
      <c r="B172" s="8" t="s">
        <v>374</v>
      </c>
      <c r="C172" s="9"/>
      <c r="D172" s="47"/>
    </row>
    <row r="173" spans="2:6" ht="15" customHeight="1">
      <c r="B173" s="11" t="s">
        <v>288</v>
      </c>
      <c r="C173" s="11" t="s">
        <v>375</v>
      </c>
      <c r="D173" s="12" t="s">
        <v>290</v>
      </c>
      <c r="E173" s="12" t="s">
        <v>291</v>
      </c>
      <c r="F173" s="29" t="s">
        <v>292</v>
      </c>
    </row>
    <row r="174" spans="2:6" ht="15" customHeight="1">
      <c r="B174" s="14">
        <v>2024</v>
      </c>
      <c r="C174" s="30" t="s">
        <v>376</v>
      </c>
      <c r="D174" s="16">
        <v>0.19091238197802346</v>
      </c>
      <c r="E174" s="14" t="s">
        <v>377</v>
      </c>
      <c r="F174" s="23" t="s">
        <v>378</v>
      </c>
    </row>
    <row r="175" spans="2:6" ht="15" customHeight="1">
      <c r="B175" s="14">
        <v>2025</v>
      </c>
      <c r="C175" s="30" t="s">
        <v>376</v>
      </c>
      <c r="D175" s="544">
        <v>0.19091238197802346</v>
      </c>
      <c r="E175" s="14" t="s">
        <v>377</v>
      </c>
      <c r="F175" s="23" t="s">
        <v>314</v>
      </c>
    </row>
    <row r="176" spans="2:6" ht="15" customHeight="1">
      <c r="B176" s="14">
        <v>2026</v>
      </c>
      <c r="C176" s="30" t="s">
        <v>376</v>
      </c>
      <c r="D176" s="18"/>
      <c r="E176" s="14" t="s">
        <v>377</v>
      </c>
      <c r="F176" s="23" t="s">
        <v>315</v>
      </c>
    </row>
    <row r="177" spans="2:6" ht="15" customHeight="1">
      <c r="B177" s="14">
        <v>2027</v>
      </c>
      <c r="C177" s="30" t="s">
        <v>376</v>
      </c>
      <c r="D177" s="18"/>
      <c r="E177" s="14" t="s">
        <v>377</v>
      </c>
      <c r="F177" s="23" t="s">
        <v>316</v>
      </c>
    </row>
    <row r="178" spans="2:6" ht="15" customHeight="1">
      <c r="B178" s="14">
        <v>2028</v>
      </c>
      <c r="C178" s="30" t="s">
        <v>376</v>
      </c>
      <c r="D178" s="18"/>
      <c r="E178" s="14" t="s">
        <v>377</v>
      </c>
      <c r="F178" s="23" t="s">
        <v>317</v>
      </c>
    </row>
    <row r="179" spans="2:6" ht="15" customHeight="1">
      <c r="B179" s="14">
        <v>2029</v>
      </c>
      <c r="C179" s="30" t="s">
        <v>376</v>
      </c>
      <c r="D179" s="18"/>
      <c r="E179" s="14" t="s">
        <v>377</v>
      </c>
      <c r="F179" s="23" t="s">
        <v>318</v>
      </c>
    </row>
    <row r="180" spans="2:6" ht="15" customHeight="1">
      <c r="B180" s="14">
        <v>2030</v>
      </c>
      <c r="C180" s="30" t="s">
        <v>376</v>
      </c>
      <c r="D180" s="18"/>
      <c r="E180" s="14" t="s">
        <v>377</v>
      </c>
      <c r="F180" s="23" t="s">
        <v>319</v>
      </c>
    </row>
    <row r="181" spans="2:6" ht="15" customHeight="1">
      <c r="B181" s="14">
        <v>2024</v>
      </c>
      <c r="C181" s="30" t="s">
        <v>379</v>
      </c>
      <c r="D181" s="16">
        <v>0.15430071720382982</v>
      </c>
      <c r="E181" s="14" t="s">
        <v>377</v>
      </c>
      <c r="F181" s="23" t="s">
        <v>378</v>
      </c>
    </row>
    <row r="182" spans="2:6" ht="15" customHeight="1">
      <c r="B182" s="14">
        <v>2025</v>
      </c>
      <c r="C182" s="30" t="s">
        <v>379</v>
      </c>
      <c r="D182" s="544">
        <v>0.15430071720382982</v>
      </c>
      <c r="E182" s="14" t="s">
        <v>377</v>
      </c>
      <c r="F182" s="23" t="s">
        <v>314</v>
      </c>
    </row>
    <row r="183" spans="2:6" ht="15" customHeight="1">
      <c r="B183" s="14">
        <v>2026</v>
      </c>
      <c r="C183" s="30" t="s">
        <v>379</v>
      </c>
      <c r="D183" s="18"/>
      <c r="E183" s="14" t="s">
        <v>377</v>
      </c>
      <c r="F183" s="23" t="s">
        <v>315</v>
      </c>
    </row>
    <row r="184" spans="2:6" ht="15" customHeight="1">
      <c r="B184" s="14">
        <v>2027</v>
      </c>
      <c r="C184" s="30" t="s">
        <v>379</v>
      </c>
      <c r="D184" s="18"/>
      <c r="E184" s="14" t="s">
        <v>377</v>
      </c>
      <c r="F184" s="23" t="s">
        <v>316</v>
      </c>
    </row>
    <row r="185" spans="2:6" ht="15" customHeight="1">
      <c r="B185" s="14">
        <v>2028</v>
      </c>
      <c r="C185" s="30" t="s">
        <v>379</v>
      </c>
      <c r="D185" s="18"/>
      <c r="E185" s="14" t="s">
        <v>377</v>
      </c>
      <c r="F185" s="23" t="s">
        <v>317</v>
      </c>
    </row>
    <row r="186" spans="2:6" ht="15" customHeight="1">
      <c r="B186" s="14">
        <v>2029</v>
      </c>
      <c r="C186" s="30" t="s">
        <v>379</v>
      </c>
      <c r="D186" s="18"/>
      <c r="E186" s="14" t="s">
        <v>377</v>
      </c>
      <c r="F186" s="23" t="s">
        <v>318</v>
      </c>
    </row>
    <row r="187" spans="2:6" ht="15" customHeight="1">
      <c r="B187" s="14">
        <v>2030</v>
      </c>
      <c r="C187" s="30" t="s">
        <v>379</v>
      </c>
      <c r="D187" s="18"/>
      <c r="E187" s="14" t="s">
        <v>377</v>
      </c>
      <c r="F187" s="23" t="s">
        <v>319</v>
      </c>
    </row>
    <row r="188" spans="2:6" ht="15" customHeight="1">
      <c r="B188" s="14">
        <v>2024</v>
      </c>
      <c r="C188" s="30" t="s">
        <v>380</v>
      </c>
      <c r="D188" s="16">
        <v>7.9741694074069792E-4</v>
      </c>
      <c r="E188" s="14" t="s">
        <v>377</v>
      </c>
      <c r="F188" s="23" t="s">
        <v>381</v>
      </c>
    </row>
    <row r="189" spans="2:6" ht="15" customHeight="1">
      <c r="B189" s="14">
        <v>2025</v>
      </c>
      <c r="C189" s="30" t="s">
        <v>380</v>
      </c>
      <c r="D189" s="544">
        <v>7.9741694074069792E-4</v>
      </c>
      <c r="E189" s="14" t="s">
        <v>377</v>
      </c>
      <c r="F189" s="23"/>
    </row>
    <row r="190" spans="2:6" ht="15" customHeight="1">
      <c r="B190" s="14">
        <v>2026</v>
      </c>
      <c r="C190" s="30" t="s">
        <v>380</v>
      </c>
      <c r="D190" s="18"/>
      <c r="E190" s="14" t="s">
        <v>377</v>
      </c>
      <c r="F190" s="23"/>
    </row>
    <row r="191" spans="2:6" ht="15" customHeight="1">
      <c r="B191" s="14">
        <v>2027</v>
      </c>
      <c r="C191" s="30" t="s">
        <v>380</v>
      </c>
      <c r="D191" s="18"/>
      <c r="E191" s="14" t="s">
        <v>377</v>
      </c>
      <c r="F191" s="23"/>
    </row>
    <row r="192" spans="2:6" ht="15" customHeight="1">
      <c r="B192" s="14">
        <v>2028</v>
      </c>
      <c r="C192" s="30" t="s">
        <v>380</v>
      </c>
      <c r="D192" s="18"/>
      <c r="E192" s="14" t="s">
        <v>377</v>
      </c>
      <c r="F192" s="23"/>
    </row>
    <row r="193" spans="1:6" ht="15" customHeight="1">
      <c r="B193" s="14">
        <v>2029</v>
      </c>
      <c r="C193" s="30" t="s">
        <v>380</v>
      </c>
      <c r="D193" s="18"/>
      <c r="E193" s="14" t="s">
        <v>377</v>
      </c>
      <c r="F193" s="23"/>
    </row>
    <row r="194" spans="1:6" ht="15" customHeight="1">
      <c r="B194" s="14">
        <v>2030</v>
      </c>
      <c r="C194" s="30" t="s">
        <v>380</v>
      </c>
      <c r="D194" s="18"/>
      <c r="E194" s="14" t="s">
        <v>377</v>
      </c>
      <c r="F194" s="23"/>
    </row>
    <row r="195" spans="1:6" ht="15" customHeight="1">
      <c r="B195" s="14">
        <v>2024</v>
      </c>
      <c r="C195" s="30" t="s">
        <v>382</v>
      </c>
      <c r="D195" s="16">
        <v>0.1403949953563827</v>
      </c>
      <c r="E195" s="14" t="s">
        <v>377</v>
      </c>
      <c r="F195" s="23" t="s">
        <v>378</v>
      </c>
    </row>
    <row r="196" spans="1:6" ht="15" customHeight="1">
      <c r="B196" s="14">
        <v>2025</v>
      </c>
      <c r="C196" s="30" t="s">
        <v>382</v>
      </c>
      <c r="D196" s="544">
        <v>0.1403949953563827</v>
      </c>
      <c r="E196" s="14" t="s">
        <v>377</v>
      </c>
      <c r="F196" s="23" t="s">
        <v>314</v>
      </c>
    </row>
    <row r="197" spans="1:6" ht="15" customHeight="1">
      <c r="B197" s="14">
        <v>2026</v>
      </c>
      <c r="C197" s="30" t="s">
        <v>382</v>
      </c>
      <c r="D197" s="18"/>
      <c r="E197" s="14" t="s">
        <v>377</v>
      </c>
      <c r="F197" s="23" t="s">
        <v>315</v>
      </c>
    </row>
    <row r="198" spans="1:6" ht="15" customHeight="1">
      <c r="B198" s="14">
        <v>2027</v>
      </c>
      <c r="C198" s="30" t="s">
        <v>382</v>
      </c>
      <c r="D198" s="18"/>
      <c r="E198" s="14" t="s">
        <v>377</v>
      </c>
      <c r="F198" s="23" t="s">
        <v>316</v>
      </c>
    </row>
    <row r="199" spans="1:6" ht="15" customHeight="1">
      <c r="B199" s="14">
        <v>2028</v>
      </c>
      <c r="C199" s="30" t="s">
        <v>382</v>
      </c>
      <c r="D199" s="18"/>
      <c r="E199" s="14" t="s">
        <v>377</v>
      </c>
      <c r="F199" s="23" t="s">
        <v>317</v>
      </c>
    </row>
    <row r="200" spans="1:6" ht="15" customHeight="1">
      <c r="B200" s="14">
        <v>2029</v>
      </c>
      <c r="C200" s="30" t="s">
        <v>382</v>
      </c>
      <c r="D200" s="18"/>
      <c r="E200" s="14" t="s">
        <v>377</v>
      </c>
      <c r="F200" s="23" t="s">
        <v>318</v>
      </c>
    </row>
    <row r="201" spans="1:6" ht="15" customHeight="1">
      <c r="B201" s="14">
        <v>2030</v>
      </c>
      <c r="C201" s="30" t="s">
        <v>382</v>
      </c>
      <c r="D201" s="18"/>
      <c r="E201" s="14" t="s">
        <v>377</v>
      </c>
      <c r="F201" s="23" t="s">
        <v>319</v>
      </c>
    </row>
    <row r="202" spans="1:6" ht="15" customHeight="1">
      <c r="A202" s="22"/>
      <c r="B202" s="14">
        <v>2024</v>
      </c>
      <c r="C202" s="31" t="s">
        <v>383</v>
      </c>
      <c r="D202" s="16">
        <v>0.12368321264114203</v>
      </c>
      <c r="E202" s="14" t="s">
        <v>377</v>
      </c>
      <c r="F202" s="23" t="s">
        <v>378</v>
      </c>
    </row>
    <row r="203" spans="1:6" ht="15" customHeight="1">
      <c r="B203" s="14">
        <v>2025</v>
      </c>
      <c r="C203" s="30" t="s">
        <v>383</v>
      </c>
      <c r="D203" s="544">
        <v>0.12368321264114203</v>
      </c>
      <c r="E203" s="14" t="s">
        <v>377</v>
      </c>
      <c r="F203" s="23" t="s">
        <v>314</v>
      </c>
    </row>
    <row r="204" spans="1:6" ht="15" customHeight="1">
      <c r="B204" s="14">
        <v>2026</v>
      </c>
      <c r="C204" s="30" t="s">
        <v>383</v>
      </c>
      <c r="D204" s="18"/>
      <c r="E204" s="14" t="s">
        <v>377</v>
      </c>
      <c r="F204" s="23" t="s">
        <v>315</v>
      </c>
    </row>
    <row r="205" spans="1:6" ht="15" customHeight="1">
      <c r="B205" s="14">
        <v>2027</v>
      </c>
      <c r="C205" s="30" t="s">
        <v>383</v>
      </c>
      <c r="D205" s="18"/>
      <c r="E205" s="14" t="s">
        <v>377</v>
      </c>
      <c r="F205" s="23" t="s">
        <v>316</v>
      </c>
    </row>
    <row r="206" spans="1:6" ht="15" customHeight="1">
      <c r="B206" s="14">
        <v>2028</v>
      </c>
      <c r="C206" s="30" t="s">
        <v>383</v>
      </c>
      <c r="D206" s="18"/>
      <c r="E206" s="14" t="s">
        <v>377</v>
      </c>
      <c r="F206" s="23" t="s">
        <v>317</v>
      </c>
    </row>
    <row r="207" spans="1:6" ht="15" customHeight="1">
      <c r="B207" s="14">
        <v>2029</v>
      </c>
      <c r="C207" s="30" t="s">
        <v>383</v>
      </c>
      <c r="D207" s="18"/>
      <c r="E207" s="14" t="s">
        <v>377</v>
      </c>
      <c r="F207" s="23" t="s">
        <v>318</v>
      </c>
    </row>
    <row r="208" spans="1:6" ht="15" customHeight="1">
      <c r="B208" s="14">
        <v>2030</v>
      </c>
      <c r="C208" s="30" t="s">
        <v>383</v>
      </c>
      <c r="D208" s="18"/>
      <c r="E208" s="14" t="s">
        <v>377</v>
      </c>
      <c r="F208" s="23" t="s">
        <v>319</v>
      </c>
    </row>
    <row r="209" spans="1:6" ht="15" customHeight="1">
      <c r="B209" s="23"/>
      <c r="C209" s="30" t="s">
        <v>384</v>
      </c>
      <c r="D209" s="16">
        <v>0</v>
      </c>
      <c r="E209" s="14" t="s">
        <v>377</v>
      </c>
      <c r="F209" s="23" t="s">
        <v>385</v>
      </c>
    </row>
    <row r="210" spans="1:6" ht="15" customHeight="1">
      <c r="B210" s="14">
        <v>2024</v>
      </c>
      <c r="C210" s="30" t="s">
        <v>386</v>
      </c>
      <c r="D210" s="16">
        <f>segajääk_2024*0.2</f>
        <v>0.14233199999999999</v>
      </c>
      <c r="E210" s="14" t="s">
        <v>377</v>
      </c>
      <c r="F210" s="23" t="s">
        <v>387</v>
      </c>
    </row>
    <row r="211" spans="1:6" ht="15" customHeight="1">
      <c r="B211" s="14">
        <v>2025</v>
      </c>
      <c r="C211" s="30" t="s">
        <v>386</v>
      </c>
      <c r="D211" s="16">
        <f>segajääk_2025*0.2</f>
        <v>0.14233199999999999</v>
      </c>
      <c r="E211" s="14" t="s">
        <v>377</v>
      </c>
      <c r="F211" s="23" t="s">
        <v>387</v>
      </c>
    </row>
    <row r="212" spans="1:6" ht="15" customHeight="1">
      <c r="B212" s="14">
        <v>2026</v>
      </c>
      <c r="C212" s="30" t="s">
        <v>386</v>
      </c>
      <c r="D212" s="16">
        <f>segajääk_2026*0.2</f>
        <v>0</v>
      </c>
      <c r="E212" s="14" t="s">
        <v>377</v>
      </c>
      <c r="F212" s="23" t="s">
        <v>387</v>
      </c>
    </row>
    <row r="213" spans="1:6" ht="15" customHeight="1">
      <c r="B213" s="14">
        <v>2027</v>
      </c>
      <c r="C213" s="30" t="s">
        <v>386</v>
      </c>
      <c r="D213" s="16">
        <f>segajääk_2027*0.2</f>
        <v>0</v>
      </c>
      <c r="E213" s="14" t="s">
        <v>377</v>
      </c>
      <c r="F213" s="23" t="s">
        <v>387</v>
      </c>
    </row>
    <row r="214" spans="1:6" ht="15" customHeight="1">
      <c r="B214" s="14">
        <v>2028</v>
      </c>
      <c r="C214" s="30" t="s">
        <v>386</v>
      </c>
      <c r="D214" s="16">
        <f>segajääk_2028*0.2</f>
        <v>0</v>
      </c>
      <c r="E214" s="14" t="s">
        <v>377</v>
      </c>
      <c r="F214" s="23" t="s">
        <v>387</v>
      </c>
    </row>
    <row r="215" spans="1:6" ht="15" customHeight="1">
      <c r="B215" s="14">
        <v>2029</v>
      </c>
      <c r="C215" s="30" t="s">
        <v>386</v>
      </c>
      <c r="D215" s="16">
        <f>segajääk_2029*0.2</f>
        <v>0</v>
      </c>
      <c r="E215" s="14" t="s">
        <v>377</v>
      </c>
      <c r="F215" s="23" t="s">
        <v>387</v>
      </c>
    </row>
    <row r="216" spans="1:6" ht="15" customHeight="1">
      <c r="B216" s="14">
        <v>2030</v>
      </c>
      <c r="C216" s="30" t="s">
        <v>386</v>
      </c>
      <c r="D216" s="16">
        <f>segajääk_2030*0.2</f>
        <v>0</v>
      </c>
      <c r="E216" s="14" t="s">
        <v>377</v>
      </c>
      <c r="F216" s="23" t="s">
        <v>387</v>
      </c>
    </row>
    <row r="217" spans="1:6" ht="15" customHeight="1">
      <c r="A217" s="22"/>
      <c r="B217" s="14">
        <v>2024</v>
      </c>
      <c r="C217" s="31" t="s">
        <v>388</v>
      </c>
      <c r="D217" s="16">
        <v>0.18393292099730699</v>
      </c>
      <c r="E217" s="14" t="s">
        <v>377</v>
      </c>
      <c r="F217" s="17" t="s">
        <v>389</v>
      </c>
    </row>
    <row r="218" spans="1:6" ht="15" customHeight="1">
      <c r="B218" s="14">
        <v>2025</v>
      </c>
      <c r="C218" s="30" t="s">
        <v>388</v>
      </c>
      <c r="D218" s="544">
        <v>0.18393292099730699</v>
      </c>
      <c r="E218" s="14" t="s">
        <v>377</v>
      </c>
      <c r="F218" s="23" t="s">
        <v>390</v>
      </c>
    </row>
    <row r="219" spans="1:6" ht="15" customHeight="1">
      <c r="B219" s="14">
        <v>2026</v>
      </c>
      <c r="C219" s="30" t="s">
        <v>388</v>
      </c>
      <c r="D219" s="18"/>
      <c r="E219" s="14" t="s">
        <v>377</v>
      </c>
      <c r="F219" s="23" t="s">
        <v>391</v>
      </c>
    </row>
    <row r="220" spans="1:6" ht="15" customHeight="1">
      <c r="B220" s="14">
        <v>2027</v>
      </c>
      <c r="C220" s="30" t="s">
        <v>388</v>
      </c>
      <c r="D220" s="18"/>
      <c r="E220" s="14" t="s">
        <v>377</v>
      </c>
      <c r="F220" s="23" t="s">
        <v>392</v>
      </c>
    </row>
    <row r="221" spans="1:6" ht="15" customHeight="1">
      <c r="B221" s="14">
        <v>2028</v>
      </c>
      <c r="C221" s="30" t="s">
        <v>388</v>
      </c>
      <c r="D221" s="18"/>
      <c r="E221" s="14" t="s">
        <v>377</v>
      </c>
      <c r="F221" s="23" t="s">
        <v>393</v>
      </c>
    </row>
    <row r="222" spans="1:6" ht="15" customHeight="1">
      <c r="B222" s="14">
        <v>2029</v>
      </c>
      <c r="C222" s="30" t="s">
        <v>388</v>
      </c>
      <c r="D222" s="18"/>
      <c r="E222" s="14" t="s">
        <v>377</v>
      </c>
      <c r="F222" s="23" t="s">
        <v>394</v>
      </c>
    </row>
    <row r="223" spans="1:6" ht="15" customHeight="1">
      <c r="B223" s="14">
        <v>2030</v>
      </c>
      <c r="C223" s="30" t="s">
        <v>388</v>
      </c>
      <c r="D223" s="18"/>
      <c r="E223" s="14" t="s">
        <v>377</v>
      </c>
      <c r="F223" s="23" t="s">
        <v>395</v>
      </c>
    </row>
    <row r="224" spans="1:6" ht="15" customHeight="1">
      <c r="A224" s="22"/>
      <c r="B224" s="14">
        <v>2024</v>
      </c>
      <c r="C224" s="31" t="s">
        <v>396</v>
      </c>
      <c r="D224" s="16">
        <v>2.4046283642270481E-2</v>
      </c>
      <c r="E224" s="17" t="s">
        <v>397</v>
      </c>
      <c r="F224" s="23" t="s">
        <v>398</v>
      </c>
    </row>
    <row r="225" spans="1:6" ht="15" customHeight="1">
      <c r="B225" s="14">
        <v>2025</v>
      </c>
      <c r="C225" s="30" t="s">
        <v>396</v>
      </c>
      <c r="D225" s="544">
        <v>2.4046283642270481E-2</v>
      </c>
      <c r="E225" s="17" t="s">
        <v>397</v>
      </c>
      <c r="F225" s="23" t="s">
        <v>399</v>
      </c>
    </row>
    <row r="226" spans="1:6" ht="15" customHeight="1">
      <c r="B226" s="14">
        <v>2026</v>
      </c>
      <c r="C226" s="30" t="s">
        <v>396</v>
      </c>
      <c r="D226" s="18"/>
      <c r="E226" s="17" t="s">
        <v>397</v>
      </c>
      <c r="F226" s="23" t="s">
        <v>400</v>
      </c>
    </row>
    <row r="227" spans="1:6" ht="15" customHeight="1">
      <c r="B227" s="14">
        <v>2027</v>
      </c>
      <c r="C227" s="30" t="s">
        <v>396</v>
      </c>
      <c r="D227" s="18"/>
      <c r="E227" s="17" t="s">
        <v>397</v>
      </c>
      <c r="F227" s="23" t="s">
        <v>401</v>
      </c>
    </row>
    <row r="228" spans="1:6" ht="15" customHeight="1">
      <c r="B228" s="14">
        <v>2028</v>
      </c>
      <c r="C228" s="30" t="s">
        <v>396</v>
      </c>
      <c r="D228" s="18"/>
      <c r="E228" s="17" t="s">
        <v>397</v>
      </c>
      <c r="F228" s="23" t="s">
        <v>402</v>
      </c>
    </row>
    <row r="229" spans="1:6" ht="15" customHeight="1">
      <c r="B229" s="14">
        <v>2029</v>
      </c>
      <c r="C229" s="30" t="s">
        <v>396</v>
      </c>
      <c r="D229" s="18"/>
      <c r="E229" s="17" t="s">
        <v>397</v>
      </c>
      <c r="F229" s="23" t="s">
        <v>403</v>
      </c>
    </row>
    <row r="230" spans="1:6" ht="15" customHeight="1">
      <c r="B230" s="14">
        <v>2030</v>
      </c>
      <c r="C230" s="30" t="s">
        <v>396</v>
      </c>
      <c r="D230" s="18"/>
      <c r="E230" s="17" t="s">
        <v>397</v>
      </c>
      <c r="F230" s="23" t="s">
        <v>404</v>
      </c>
    </row>
    <row r="231" spans="1:6" ht="15" customHeight="1">
      <c r="A231" s="22"/>
      <c r="B231" s="14">
        <v>2024</v>
      </c>
      <c r="C231" s="31" t="s">
        <v>405</v>
      </c>
      <c r="D231" s="16">
        <v>8.7307972299789746E-2</v>
      </c>
      <c r="E231" s="17" t="s">
        <v>397</v>
      </c>
      <c r="F231" s="23" t="s">
        <v>406</v>
      </c>
    </row>
    <row r="232" spans="1:6" ht="15" customHeight="1">
      <c r="B232" s="14">
        <v>2025</v>
      </c>
      <c r="C232" s="30" t="s">
        <v>405</v>
      </c>
      <c r="D232" s="544">
        <v>8.7307972299789746E-2</v>
      </c>
      <c r="E232" s="17" t="s">
        <v>397</v>
      </c>
      <c r="F232" s="23" t="s">
        <v>407</v>
      </c>
    </row>
    <row r="233" spans="1:6" ht="15" customHeight="1">
      <c r="B233" s="14">
        <v>2026</v>
      </c>
      <c r="C233" s="30" t="s">
        <v>405</v>
      </c>
      <c r="D233" s="18"/>
      <c r="E233" s="17" t="s">
        <v>397</v>
      </c>
      <c r="F233" s="23" t="s">
        <v>408</v>
      </c>
    </row>
    <row r="234" spans="1:6" ht="15" customHeight="1">
      <c r="B234" s="14">
        <v>2027</v>
      </c>
      <c r="C234" s="30" t="s">
        <v>405</v>
      </c>
      <c r="D234" s="18"/>
      <c r="E234" s="17" t="s">
        <v>397</v>
      </c>
      <c r="F234" s="23" t="s">
        <v>409</v>
      </c>
    </row>
    <row r="235" spans="1:6" ht="15" customHeight="1">
      <c r="B235" s="14">
        <v>2028</v>
      </c>
      <c r="C235" s="30" t="s">
        <v>405</v>
      </c>
      <c r="D235" s="18"/>
      <c r="E235" s="17" t="s">
        <v>397</v>
      </c>
      <c r="F235" s="23" t="s">
        <v>410</v>
      </c>
    </row>
    <row r="236" spans="1:6" ht="15" customHeight="1">
      <c r="B236" s="14">
        <v>2029</v>
      </c>
      <c r="C236" s="30" t="s">
        <v>405</v>
      </c>
      <c r="D236" s="18"/>
      <c r="E236" s="17" t="s">
        <v>397</v>
      </c>
      <c r="F236" s="23" t="s">
        <v>411</v>
      </c>
    </row>
    <row r="237" spans="1:6" ht="15" customHeight="1">
      <c r="B237" s="14">
        <v>2030</v>
      </c>
      <c r="C237" s="30" t="s">
        <v>405</v>
      </c>
      <c r="D237" s="18"/>
      <c r="E237" s="17" t="s">
        <v>397</v>
      </c>
      <c r="F237" s="23" t="s">
        <v>412</v>
      </c>
    </row>
    <row r="238" spans="1:6" ht="15" customHeight="1">
      <c r="B238" s="14">
        <v>2024</v>
      </c>
      <c r="C238" s="30" t="s">
        <v>413</v>
      </c>
      <c r="D238" s="16">
        <v>5.2230073120572353E-2</v>
      </c>
      <c r="E238" s="17" t="s">
        <v>397</v>
      </c>
      <c r="F238" s="23" t="s">
        <v>414</v>
      </c>
    </row>
    <row r="239" spans="1:6" ht="15" customHeight="1">
      <c r="B239" s="14">
        <v>2025</v>
      </c>
      <c r="C239" s="30" t="s">
        <v>413</v>
      </c>
      <c r="D239" s="544">
        <v>5.2230073120572353E-2</v>
      </c>
      <c r="E239" s="17" t="s">
        <v>397</v>
      </c>
      <c r="F239" s="23" t="s">
        <v>415</v>
      </c>
    </row>
    <row r="240" spans="1:6" ht="15" customHeight="1">
      <c r="B240" s="14">
        <v>2026</v>
      </c>
      <c r="C240" s="30" t="s">
        <v>413</v>
      </c>
      <c r="D240" s="18"/>
      <c r="E240" s="17" t="s">
        <v>397</v>
      </c>
      <c r="F240" s="23" t="s">
        <v>416</v>
      </c>
    </row>
    <row r="241" spans="2:6" ht="15" customHeight="1">
      <c r="B241" s="14">
        <v>2027</v>
      </c>
      <c r="C241" s="30" t="s">
        <v>413</v>
      </c>
      <c r="D241" s="18"/>
      <c r="E241" s="17" t="s">
        <v>397</v>
      </c>
      <c r="F241" s="23" t="s">
        <v>417</v>
      </c>
    </row>
    <row r="242" spans="2:6" ht="15" customHeight="1">
      <c r="B242" s="14">
        <v>2028</v>
      </c>
      <c r="C242" s="30" t="s">
        <v>413</v>
      </c>
      <c r="D242" s="18"/>
      <c r="E242" s="17" t="s">
        <v>397</v>
      </c>
      <c r="F242" s="23" t="s">
        <v>418</v>
      </c>
    </row>
    <row r="243" spans="2:6" ht="15" customHeight="1">
      <c r="B243" s="14">
        <v>2029</v>
      </c>
      <c r="C243" s="30" t="s">
        <v>413</v>
      </c>
      <c r="D243" s="18"/>
      <c r="E243" s="17" t="s">
        <v>397</v>
      </c>
      <c r="F243" s="23" t="s">
        <v>419</v>
      </c>
    </row>
    <row r="244" spans="2:6" ht="15" customHeight="1">
      <c r="B244" s="14">
        <v>2030</v>
      </c>
      <c r="C244" s="30" t="s">
        <v>413</v>
      </c>
      <c r="D244" s="18"/>
      <c r="E244" s="17" t="s">
        <v>397</v>
      </c>
      <c r="F244" s="23" t="s">
        <v>420</v>
      </c>
    </row>
    <row r="245" spans="2:6" ht="15" customHeight="1">
      <c r="B245" s="14">
        <v>2024</v>
      </c>
      <c r="C245" s="30" t="s">
        <v>421</v>
      </c>
      <c r="D245" s="16">
        <v>9.018525888774255E-2</v>
      </c>
      <c r="E245" s="23" t="s">
        <v>422</v>
      </c>
      <c r="F245" s="23" t="s">
        <v>398</v>
      </c>
    </row>
    <row r="246" spans="2:6" ht="15" customHeight="1">
      <c r="B246" s="14">
        <v>2025</v>
      </c>
      <c r="C246" s="30" t="s">
        <v>421</v>
      </c>
      <c r="D246" s="544">
        <v>9.018525888774255E-2</v>
      </c>
      <c r="E246" s="23" t="s">
        <v>422</v>
      </c>
      <c r="F246" s="23" t="s">
        <v>399</v>
      </c>
    </row>
    <row r="247" spans="2:6" ht="15" customHeight="1">
      <c r="B247" s="14">
        <v>2026</v>
      </c>
      <c r="C247" s="23" t="s">
        <v>421</v>
      </c>
      <c r="E247" s="23" t="s">
        <v>422</v>
      </c>
      <c r="F247" s="23" t="s">
        <v>400</v>
      </c>
    </row>
    <row r="248" spans="2:6" ht="15" customHeight="1">
      <c r="B248" s="14">
        <v>2027</v>
      </c>
      <c r="C248" s="30" t="s">
        <v>421</v>
      </c>
      <c r="D248" s="18"/>
      <c r="E248" s="23" t="s">
        <v>422</v>
      </c>
      <c r="F248" s="23" t="s">
        <v>401</v>
      </c>
    </row>
    <row r="249" spans="2:6" ht="15" customHeight="1">
      <c r="B249" s="14">
        <v>2028</v>
      </c>
      <c r="C249" s="30" t="s">
        <v>421</v>
      </c>
      <c r="D249" s="18"/>
      <c r="E249" s="23" t="s">
        <v>422</v>
      </c>
      <c r="F249" s="23" t="s">
        <v>402</v>
      </c>
    </row>
    <row r="250" spans="2:6" ht="15" customHeight="1">
      <c r="B250" s="14">
        <v>2029</v>
      </c>
      <c r="C250" s="30" t="s">
        <v>421</v>
      </c>
      <c r="D250" s="18"/>
      <c r="E250" s="23" t="s">
        <v>422</v>
      </c>
      <c r="F250" s="23" t="s">
        <v>403</v>
      </c>
    </row>
    <row r="251" spans="2:6" ht="15" customHeight="1">
      <c r="B251" s="14">
        <v>2030</v>
      </c>
      <c r="C251" s="30" t="s">
        <v>421</v>
      </c>
      <c r="D251" s="18"/>
      <c r="E251" s="23" t="s">
        <v>422</v>
      </c>
      <c r="F251" s="23" t="s">
        <v>404</v>
      </c>
    </row>
    <row r="252" spans="2:6" ht="15" customHeight="1">
      <c r="C252" s="30" t="s">
        <v>423</v>
      </c>
      <c r="D252" s="579">
        <v>0</v>
      </c>
      <c r="E252" s="23" t="s">
        <v>422</v>
      </c>
      <c r="F252" s="23" t="s">
        <v>385</v>
      </c>
    </row>
    <row r="253" spans="2:6" ht="15" customHeight="1">
      <c r="B253" s="14">
        <v>2024</v>
      </c>
      <c r="C253" s="30" t="s">
        <v>424</v>
      </c>
      <c r="D253" s="16">
        <v>5.6482525113800496E-2</v>
      </c>
      <c r="E253" s="23" t="s">
        <v>422</v>
      </c>
      <c r="F253" s="23" t="s">
        <v>425</v>
      </c>
    </row>
    <row r="254" spans="2:6" ht="15" customHeight="1">
      <c r="B254" s="14">
        <v>2025</v>
      </c>
      <c r="C254" s="30" t="s">
        <v>424</v>
      </c>
      <c r="D254" s="544">
        <v>5.6482525113800496E-2</v>
      </c>
      <c r="E254" s="23" t="s">
        <v>422</v>
      </c>
      <c r="F254" s="23" t="s">
        <v>426</v>
      </c>
    </row>
    <row r="255" spans="2:6" ht="15" customHeight="1">
      <c r="B255" s="14">
        <v>2026</v>
      </c>
      <c r="C255" s="23" t="s">
        <v>424</v>
      </c>
      <c r="E255" s="23" t="s">
        <v>422</v>
      </c>
      <c r="F255" s="23" t="s">
        <v>427</v>
      </c>
    </row>
    <row r="256" spans="2:6" ht="15" customHeight="1">
      <c r="B256" s="14">
        <v>2027</v>
      </c>
      <c r="C256" s="30" t="s">
        <v>424</v>
      </c>
      <c r="D256" s="580"/>
      <c r="E256" s="23" t="s">
        <v>422</v>
      </c>
      <c r="F256" s="23" t="s">
        <v>428</v>
      </c>
    </row>
    <row r="257" spans="1:6" ht="15" customHeight="1">
      <c r="B257" s="14">
        <v>2028</v>
      </c>
      <c r="C257" s="30" t="s">
        <v>424</v>
      </c>
      <c r="D257" s="18"/>
      <c r="E257" s="23" t="s">
        <v>422</v>
      </c>
      <c r="F257" s="23" t="s">
        <v>429</v>
      </c>
    </row>
    <row r="258" spans="1:6" ht="15" customHeight="1">
      <c r="B258" s="14">
        <v>2029</v>
      </c>
      <c r="C258" s="30" t="s">
        <v>424</v>
      </c>
      <c r="D258" s="18"/>
      <c r="E258" s="23" t="s">
        <v>422</v>
      </c>
      <c r="F258" s="23" t="s">
        <v>430</v>
      </c>
    </row>
    <row r="259" spans="1:6" ht="15" customHeight="1">
      <c r="B259" s="14">
        <v>2030</v>
      </c>
      <c r="C259" s="30" t="s">
        <v>424</v>
      </c>
      <c r="D259" s="18"/>
      <c r="E259" s="23" t="s">
        <v>422</v>
      </c>
      <c r="F259" s="23" t="s">
        <v>431</v>
      </c>
    </row>
    <row r="260" spans="1:6" ht="15" customHeight="1">
      <c r="B260" s="14">
        <v>2024</v>
      </c>
      <c r="C260" s="30" t="s">
        <v>432</v>
      </c>
      <c r="D260" s="580">
        <v>1.8710000000000001E-2</v>
      </c>
      <c r="E260" s="23" t="s">
        <v>422</v>
      </c>
      <c r="F260" s="23" t="s">
        <v>433</v>
      </c>
    </row>
    <row r="261" spans="1:6" ht="15" customHeight="1">
      <c r="B261" s="14">
        <v>2025</v>
      </c>
      <c r="C261" s="30" t="s">
        <v>432</v>
      </c>
      <c r="D261" s="584">
        <v>1.8710000000000001E-2</v>
      </c>
      <c r="E261" s="23" t="s">
        <v>422</v>
      </c>
      <c r="F261" s="23" t="s">
        <v>434</v>
      </c>
    </row>
    <row r="262" spans="1:6" ht="15" customHeight="1">
      <c r="B262" s="14">
        <v>2026</v>
      </c>
      <c r="C262" s="23" t="s">
        <v>432</v>
      </c>
      <c r="E262" s="23" t="s">
        <v>422</v>
      </c>
      <c r="F262" s="23" t="s">
        <v>435</v>
      </c>
    </row>
    <row r="263" spans="1:6" s="22" customFormat="1" ht="15" customHeight="1">
      <c r="A263" s="10"/>
      <c r="B263" s="14">
        <v>2027</v>
      </c>
      <c r="C263" s="30" t="s">
        <v>432</v>
      </c>
      <c r="D263" s="18"/>
      <c r="E263" s="23" t="s">
        <v>422</v>
      </c>
      <c r="F263" s="23" t="s">
        <v>436</v>
      </c>
    </row>
    <row r="264" spans="1:6" s="22" customFormat="1" ht="15" customHeight="1">
      <c r="A264" s="10"/>
      <c r="B264" s="14">
        <v>2028</v>
      </c>
      <c r="C264" s="30" t="s">
        <v>432</v>
      </c>
      <c r="D264" s="18"/>
      <c r="E264" s="23" t="s">
        <v>422</v>
      </c>
      <c r="F264" s="23" t="s">
        <v>437</v>
      </c>
    </row>
    <row r="265" spans="1:6" s="22" customFormat="1" ht="15" customHeight="1">
      <c r="A265" s="10"/>
      <c r="B265" s="14">
        <v>2029</v>
      </c>
      <c r="C265" s="30" t="s">
        <v>432</v>
      </c>
      <c r="D265" s="18"/>
      <c r="E265" s="23" t="s">
        <v>422</v>
      </c>
      <c r="F265" s="23" t="s">
        <v>438</v>
      </c>
    </row>
    <row r="266" spans="1:6" s="22" customFormat="1" ht="15" customHeight="1">
      <c r="A266" s="10"/>
      <c r="B266" s="14">
        <v>2030</v>
      </c>
      <c r="C266" s="30" t="s">
        <v>432</v>
      </c>
      <c r="D266" s="18"/>
      <c r="E266" s="23" t="s">
        <v>422</v>
      </c>
      <c r="F266" s="23" t="s">
        <v>439</v>
      </c>
    </row>
    <row r="267" spans="1:6" s="22" customFormat="1" ht="15" customHeight="1">
      <c r="A267" s="462"/>
      <c r="B267" s="14">
        <v>2024</v>
      </c>
      <c r="C267" s="31" t="s">
        <v>440</v>
      </c>
      <c r="D267" s="580">
        <v>0.18592</v>
      </c>
      <c r="E267" s="17" t="s">
        <v>441</v>
      </c>
      <c r="F267" s="23" t="s">
        <v>442</v>
      </c>
    </row>
    <row r="268" spans="1:6" s="22" customFormat="1" ht="15" customHeight="1">
      <c r="A268" s="10"/>
      <c r="B268" s="14">
        <v>2025</v>
      </c>
      <c r="C268" s="30" t="s">
        <v>440</v>
      </c>
      <c r="D268" s="584">
        <v>0.18592</v>
      </c>
      <c r="E268" s="23" t="s">
        <v>441</v>
      </c>
      <c r="F268" s="23" t="s">
        <v>443</v>
      </c>
    </row>
    <row r="269" spans="1:6" s="22" customFormat="1" ht="15" customHeight="1">
      <c r="A269" s="10"/>
      <c r="B269" s="14">
        <v>2026</v>
      </c>
      <c r="C269" s="23" t="s">
        <v>440</v>
      </c>
      <c r="E269" s="23" t="s">
        <v>441</v>
      </c>
      <c r="F269" s="23" t="s">
        <v>444</v>
      </c>
    </row>
    <row r="270" spans="1:6" s="22" customFormat="1" ht="15" customHeight="1">
      <c r="A270" s="10"/>
      <c r="B270" s="14">
        <v>2027</v>
      </c>
      <c r="C270" s="30" t="s">
        <v>440</v>
      </c>
      <c r="D270" s="18"/>
      <c r="E270" s="23" t="s">
        <v>441</v>
      </c>
      <c r="F270" s="23" t="s">
        <v>445</v>
      </c>
    </row>
    <row r="271" spans="1:6" ht="15" customHeight="1">
      <c r="B271" s="14">
        <v>2028</v>
      </c>
      <c r="C271" s="30" t="s">
        <v>440</v>
      </c>
      <c r="D271" s="18"/>
      <c r="E271" s="23" t="s">
        <v>441</v>
      </c>
      <c r="F271" s="23" t="s">
        <v>446</v>
      </c>
    </row>
    <row r="272" spans="1:6" ht="15" customHeight="1">
      <c r="B272" s="14">
        <v>2029</v>
      </c>
      <c r="C272" s="30" t="s">
        <v>440</v>
      </c>
      <c r="D272" s="18"/>
      <c r="E272" s="23" t="s">
        <v>441</v>
      </c>
      <c r="F272" s="23" t="s">
        <v>447</v>
      </c>
    </row>
    <row r="273" spans="1:6" ht="15" customHeight="1">
      <c r="B273" s="14">
        <v>2030</v>
      </c>
      <c r="C273" s="30" t="s">
        <v>440</v>
      </c>
      <c r="D273" s="18"/>
      <c r="E273" s="23" t="s">
        <v>441</v>
      </c>
      <c r="F273" s="23" t="s">
        <v>448</v>
      </c>
    </row>
    <row r="276" spans="1:6" ht="15" customHeight="1">
      <c r="B276" s="8" t="s">
        <v>449</v>
      </c>
      <c r="C276" s="9"/>
      <c r="D276" s="48"/>
      <c r="E276" s="54"/>
    </row>
    <row r="277" spans="1:6" ht="15" customHeight="1">
      <c r="B277" s="11" t="s">
        <v>288</v>
      </c>
      <c r="C277" s="11" t="s">
        <v>375</v>
      </c>
      <c r="D277" s="52" t="s">
        <v>290</v>
      </c>
      <c r="E277" s="12" t="s">
        <v>291</v>
      </c>
      <c r="F277" s="29" t="s">
        <v>292</v>
      </c>
    </row>
    <row r="278" spans="1:6" ht="15" customHeight="1">
      <c r="B278" s="14">
        <v>2024</v>
      </c>
      <c r="C278" s="23" t="s">
        <v>450</v>
      </c>
      <c r="D278" s="55">
        <v>0.20855778494773294</v>
      </c>
      <c r="E278" s="23" t="s">
        <v>377</v>
      </c>
      <c r="F278" s="23" t="s">
        <v>378</v>
      </c>
    </row>
    <row r="279" spans="1:6" ht="15" customHeight="1">
      <c r="B279" s="14">
        <v>2025</v>
      </c>
      <c r="C279" s="23" t="s">
        <v>450</v>
      </c>
      <c r="D279" s="546">
        <v>0.20855778494773294</v>
      </c>
      <c r="E279" s="23" t="s">
        <v>377</v>
      </c>
      <c r="F279" s="23" t="s">
        <v>314</v>
      </c>
    </row>
    <row r="280" spans="1:6" ht="15" customHeight="1">
      <c r="B280" s="14">
        <v>2026</v>
      </c>
      <c r="C280" s="23" t="s">
        <v>450</v>
      </c>
      <c r="D280" s="55"/>
      <c r="E280" s="23" t="s">
        <v>377</v>
      </c>
      <c r="F280" s="23" t="s">
        <v>315</v>
      </c>
    </row>
    <row r="281" spans="1:6" ht="15" customHeight="1">
      <c r="B281" s="14">
        <v>2027</v>
      </c>
      <c r="C281" s="23" t="s">
        <v>450</v>
      </c>
      <c r="D281" s="55"/>
      <c r="E281" s="23" t="s">
        <v>377</v>
      </c>
      <c r="F281" s="23" t="s">
        <v>316</v>
      </c>
    </row>
    <row r="282" spans="1:6" ht="15" customHeight="1">
      <c r="B282" s="14">
        <v>2028</v>
      </c>
      <c r="C282" s="23" t="s">
        <v>450</v>
      </c>
      <c r="D282" s="55"/>
      <c r="E282" s="23" t="s">
        <v>377</v>
      </c>
      <c r="F282" s="23" t="s">
        <v>317</v>
      </c>
    </row>
    <row r="283" spans="1:6" ht="15" customHeight="1">
      <c r="B283" s="14">
        <v>2029</v>
      </c>
      <c r="C283" s="23" t="s">
        <v>450</v>
      </c>
      <c r="D283" s="55"/>
      <c r="E283" s="23" t="s">
        <v>377</v>
      </c>
      <c r="F283" s="23" t="s">
        <v>318</v>
      </c>
    </row>
    <row r="284" spans="1:6" ht="15" customHeight="1">
      <c r="B284" s="14">
        <v>2030</v>
      </c>
      <c r="C284" s="23" t="s">
        <v>450</v>
      </c>
      <c r="D284" s="55"/>
      <c r="E284" s="23" t="s">
        <v>377</v>
      </c>
      <c r="F284" s="23" t="s">
        <v>319</v>
      </c>
    </row>
    <row r="285" spans="1:6" ht="15" customHeight="1">
      <c r="B285" s="14">
        <v>2024</v>
      </c>
      <c r="C285" s="30" t="s">
        <v>451</v>
      </c>
      <c r="D285" s="16">
        <f>transport_kaubik_bensiin_km_2024/1.2</f>
        <v>0.17379815412311078</v>
      </c>
      <c r="E285" s="23" t="s">
        <v>452</v>
      </c>
      <c r="F285" s="23" t="s">
        <v>453</v>
      </c>
    </row>
    <row r="286" spans="1:6" ht="15" customHeight="1">
      <c r="B286" s="14">
        <v>2025</v>
      </c>
      <c r="C286" s="30" t="s">
        <v>451</v>
      </c>
      <c r="D286" s="16">
        <f>transport_kaubik_bensiin_km_2025/1.2</f>
        <v>0.17379815412311078</v>
      </c>
      <c r="E286" s="23" t="s">
        <v>452</v>
      </c>
      <c r="F286" s="23" t="s">
        <v>453</v>
      </c>
    </row>
    <row r="287" spans="1:6" ht="15" customHeight="1">
      <c r="B287" s="14">
        <v>2026</v>
      </c>
      <c r="C287" s="30" t="s">
        <v>451</v>
      </c>
      <c r="D287" s="16">
        <f>transport_kaubik_bensiin_km_2026/1.2</f>
        <v>0</v>
      </c>
      <c r="E287" s="23" t="s">
        <v>452</v>
      </c>
      <c r="F287" s="23" t="s">
        <v>453</v>
      </c>
    </row>
    <row r="288" spans="1:6" ht="15" customHeight="1">
      <c r="A288" s="22"/>
      <c r="B288" s="14">
        <v>2027</v>
      </c>
      <c r="C288" s="30" t="s">
        <v>451</v>
      </c>
      <c r="D288" s="16">
        <f>transport_kaubik_bensiin_km_2027/1.2</f>
        <v>0</v>
      </c>
      <c r="E288" s="23" t="s">
        <v>452</v>
      </c>
      <c r="F288" s="23" t="s">
        <v>453</v>
      </c>
    </row>
    <row r="289" spans="1:6" ht="15" customHeight="1">
      <c r="A289" s="22"/>
      <c r="B289" s="14">
        <v>2028</v>
      </c>
      <c r="C289" s="30" t="s">
        <v>451</v>
      </c>
      <c r="D289" s="16">
        <f>transport_kaubik_bensiin_km_2028/1.2</f>
        <v>0</v>
      </c>
      <c r="E289" s="23" t="s">
        <v>452</v>
      </c>
      <c r="F289" s="23" t="s">
        <v>453</v>
      </c>
    </row>
    <row r="290" spans="1:6" ht="15" customHeight="1">
      <c r="A290" s="22"/>
      <c r="B290" s="14">
        <v>2029</v>
      </c>
      <c r="C290" s="30" t="s">
        <v>451</v>
      </c>
      <c r="D290" s="16">
        <f>transport_kaubik_bensiin_km_2029/1.2</f>
        <v>0</v>
      </c>
      <c r="E290" s="23" t="s">
        <v>452</v>
      </c>
      <c r="F290" s="23" t="s">
        <v>453</v>
      </c>
    </row>
    <row r="291" spans="1:6" ht="15" customHeight="1">
      <c r="A291" s="22"/>
      <c r="B291" s="14">
        <v>2030</v>
      </c>
      <c r="C291" s="30" t="s">
        <v>451</v>
      </c>
      <c r="D291" s="16">
        <f>transport_kaubik_bensiin_km_2030/1.2</f>
        <v>0</v>
      </c>
      <c r="E291" s="23" t="s">
        <v>452</v>
      </c>
      <c r="F291" s="23" t="s">
        <v>453</v>
      </c>
    </row>
    <row r="292" spans="1:6" ht="15" customHeight="1">
      <c r="A292" s="22"/>
      <c r="B292" s="14">
        <v>2024</v>
      </c>
      <c r="C292" s="30" t="s">
        <v>454</v>
      </c>
      <c r="D292" s="16">
        <v>0.21970497654363919</v>
      </c>
      <c r="E292" s="23" t="s">
        <v>377</v>
      </c>
      <c r="F292" s="23" t="s">
        <v>378</v>
      </c>
    </row>
    <row r="293" spans="1:6" ht="15" customHeight="1">
      <c r="A293" s="22"/>
      <c r="B293" s="14">
        <v>2025</v>
      </c>
      <c r="C293" s="30" t="s">
        <v>454</v>
      </c>
      <c r="D293" s="544">
        <v>0.21970497654363919</v>
      </c>
      <c r="E293" s="23" t="s">
        <v>377</v>
      </c>
      <c r="F293" s="23" t="s">
        <v>314</v>
      </c>
    </row>
    <row r="294" spans="1:6" ht="15" customHeight="1">
      <c r="A294" s="22"/>
      <c r="B294" s="14">
        <v>2026</v>
      </c>
      <c r="C294" s="30" t="s">
        <v>454</v>
      </c>
      <c r="D294" s="16"/>
      <c r="E294" s="23" t="s">
        <v>377</v>
      </c>
      <c r="F294" s="23" t="s">
        <v>315</v>
      </c>
    </row>
    <row r="295" spans="1:6" ht="15" customHeight="1">
      <c r="A295" s="22"/>
      <c r="B295" s="14">
        <v>2027</v>
      </c>
      <c r="C295" s="30" t="s">
        <v>454</v>
      </c>
      <c r="D295" s="16"/>
      <c r="E295" s="23" t="s">
        <v>377</v>
      </c>
      <c r="F295" s="23" t="s">
        <v>316</v>
      </c>
    </row>
    <row r="296" spans="1:6" ht="15" customHeight="1">
      <c r="B296" s="14">
        <v>2028</v>
      </c>
      <c r="C296" s="30" t="s">
        <v>454</v>
      </c>
      <c r="D296" s="18"/>
      <c r="E296" s="23" t="s">
        <v>377</v>
      </c>
      <c r="F296" s="23" t="s">
        <v>317</v>
      </c>
    </row>
    <row r="297" spans="1:6" ht="15" customHeight="1">
      <c r="B297" s="14">
        <v>2029</v>
      </c>
      <c r="C297" s="30" t="s">
        <v>454</v>
      </c>
      <c r="D297" s="18"/>
      <c r="E297" s="23" t="s">
        <v>377</v>
      </c>
      <c r="F297" s="23" t="s">
        <v>318</v>
      </c>
    </row>
    <row r="298" spans="1:6" ht="15" customHeight="1">
      <c r="B298" s="14">
        <v>2030</v>
      </c>
      <c r="C298" s="30" t="s">
        <v>454</v>
      </c>
      <c r="D298" s="18"/>
      <c r="E298" s="23" t="s">
        <v>377</v>
      </c>
      <c r="F298" s="23" t="s">
        <v>319</v>
      </c>
    </row>
    <row r="299" spans="1:6" ht="15" customHeight="1">
      <c r="B299" s="14">
        <v>2024</v>
      </c>
      <c r="C299" s="30" t="s">
        <v>455</v>
      </c>
      <c r="D299" s="16">
        <f>transport_kaubik_diisel_km_2024/1.2</f>
        <v>0.18308748045303266</v>
      </c>
      <c r="E299" s="23" t="s">
        <v>452</v>
      </c>
      <c r="F299" s="23" t="s">
        <v>453</v>
      </c>
    </row>
    <row r="300" spans="1:6" ht="15" customHeight="1">
      <c r="B300" s="14">
        <v>2025</v>
      </c>
      <c r="C300" s="30" t="s">
        <v>455</v>
      </c>
      <c r="D300" s="16">
        <f>transport_kaubik_diisel_km_2025/1.2</f>
        <v>0.18308748045303266</v>
      </c>
      <c r="E300" s="23" t="s">
        <v>452</v>
      </c>
      <c r="F300" s="23" t="s">
        <v>453</v>
      </c>
    </row>
    <row r="301" spans="1:6" ht="15" customHeight="1">
      <c r="B301" s="14">
        <v>2026</v>
      </c>
      <c r="C301" s="30" t="s">
        <v>455</v>
      </c>
      <c r="D301" s="16">
        <f>transport_kaubik_diisel_km_2026/1.2</f>
        <v>0</v>
      </c>
      <c r="E301" s="23" t="s">
        <v>452</v>
      </c>
      <c r="F301" s="23" t="s">
        <v>453</v>
      </c>
    </row>
    <row r="302" spans="1:6" ht="15" customHeight="1">
      <c r="B302" s="14">
        <v>2027</v>
      </c>
      <c r="C302" s="30" t="s">
        <v>455</v>
      </c>
      <c r="D302" s="16">
        <f>transport_kaubik_diisel_km_2027/1.2</f>
        <v>0</v>
      </c>
      <c r="E302" s="23" t="s">
        <v>452</v>
      </c>
      <c r="F302" s="23" t="s">
        <v>453</v>
      </c>
    </row>
    <row r="303" spans="1:6" ht="15" customHeight="1">
      <c r="B303" s="14">
        <v>2028</v>
      </c>
      <c r="C303" s="30" t="s">
        <v>455</v>
      </c>
      <c r="D303" s="16">
        <f>transport_kaubik_diisel_km_2028/1.2</f>
        <v>0</v>
      </c>
      <c r="E303" s="23" t="s">
        <v>452</v>
      </c>
      <c r="F303" s="23" t="s">
        <v>453</v>
      </c>
    </row>
    <row r="304" spans="1:6" ht="15" customHeight="1">
      <c r="B304" s="14">
        <v>2029</v>
      </c>
      <c r="C304" s="30" t="s">
        <v>455</v>
      </c>
      <c r="D304" s="16">
        <f>transport_kaubik_diisel_km_2029/1.2</f>
        <v>0</v>
      </c>
      <c r="E304" s="23" t="s">
        <v>452</v>
      </c>
      <c r="F304" s="23" t="s">
        <v>453</v>
      </c>
    </row>
    <row r="305" spans="2:6" ht="15" customHeight="1">
      <c r="B305" s="14">
        <v>2030</v>
      </c>
      <c r="C305" s="30" t="s">
        <v>455</v>
      </c>
      <c r="D305" s="16">
        <f>transport_kaubik_diisel_km_2030/1.2</f>
        <v>0</v>
      </c>
      <c r="E305" s="23" t="s">
        <v>452</v>
      </c>
      <c r="F305" s="23" t="s">
        <v>453</v>
      </c>
    </row>
    <row r="306" spans="2:6" ht="15" customHeight="1">
      <c r="C306" s="30" t="s">
        <v>456</v>
      </c>
      <c r="D306" s="16">
        <v>0</v>
      </c>
      <c r="E306" s="23" t="s">
        <v>377</v>
      </c>
      <c r="F306" s="23" t="s">
        <v>385</v>
      </c>
    </row>
    <row r="307" spans="2:6" ht="15" customHeight="1">
      <c r="C307" s="30" t="s">
        <v>457</v>
      </c>
      <c r="D307" s="16">
        <v>0</v>
      </c>
      <c r="E307" s="23" t="s">
        <v>452</v>
      </c>
      <c r="F307" s="23" t="s">
        <v>385</v>
      </c>
    </row>
    <row r="308" spans="2:6" ht="15" customHeight="1">
      <c r="B308" s="14">
        <v>2024</v>
      </c>
      <c r="C308" s="30" t="s">
        <v>458</v>
      </c>
      <c r="D308" s="16">
        <f>segajääk_2024*0.25</f>
        <v>0.17791499999999999</v>
      </c>
      <c r="E308" s="23" t="s">
        <v>377</v>
      </c>
      <c r="F308" s="23" t="s">
        <v>459</v>
      </c>
    </row>
    <row r="309" spans="2:6" ht="15" customHeight="1">
      <c r="B309" s="14">
        <v>2025</v>
      </c>
      <c r="C309" s="30" t="s">
        <v>458</v>
      </c>
      <c r="D309" s="16">
        <f>segajääk_2025*0.25</f>
        <v>0.17791499999999999</v>
      </c>
      <c r="E309" s="23" t="s">
        <v>377</v>
      </c>
      <c r="F309" s="23" t="s">
        <v>459</v>
      </c>
    </row>
    <row r="310" spans="2:6" ht="15" customHeight="1">
      <c r="B310" s="14">
        <v>2026</v>
      </c>
      <c r="C310" s="30" t="s">
        <v>458</v>
      </c>
      <c r="D310" s="16">
        <f>segajääk_2026*0.25</f>
        <v>0</v>
      </c>
      <c r="E310" s="23" t="s">
        <v>377</v>
      </c>
      <c r="F310" s="23" t="s">
        <v>459</v>
      </c>
    </row>
    <row r="311" spans="2:6" ht="15" customHeight="1">
      <c r="B311" s="14">
        <v>2027</v>
      </c>
      <c r="C311" s="30" t="s">
        <v>458</v>
      </c>
      <c r="D311" s="16">
        <f>segajääk_2027*0.25</f>
        <v>0</v>
      </c>
      <c r="E311" s="23" t="s">
        <v>377</v>
      </c>
      <c r="F311" s="23" t="s">
        <v>459</v>
      </c>
    </row>
    <row r="312" spans="2:6" ht="15" customHeight="1">
      <c r="B312" s="14">
        <v>2028</v>
      </c>
      <c r="C312" s="31" t="s">
        <v>458</v>
      </c>
      <c r="D312" s="26">
        <f>segajääk_2028*0.25</f>
        <v>0</v>
      </c>
      <c r="E312" s="17" t="s">
        <v>460</v>
      </c>
      <c r="F312" s="17" t="s">
        <v>459</v>
      </c>
    </row>
    <row r="313" spans="2:6" ht="15" customHeight="1">
      <c r="B313" s="14">
        <v>2029</v>
      </c>
      <c r="C313" s="31" t="s">
        <v>458</v>
      </c>
      <c r="D313" s="26">
        <f>segajääk_2029*0.25</f>
        <v>0</v>
      </c>
      <c r="E313" s="17" t="s">
        <v>460</v>
      </c>
      <c r="F313" s="17" t="s">
        <v>459</v>
      </c>
    </row>
    <row r="314" spans="2:6" ht="15" customHeight="1">
      <c r="B314" s="14">
        <v>2030</v>
      </c>
      <c r="C314" s="31" t="s">
        <v>458</v>
      </c>
      <c r="D314" s="26">
        <f>segajääk_2030*0.25</f>
        <v>0</v>
      </c>
      <c r="E314" s="17" t="s">
        <v>460</v>
      </c>
      <c r="F314" s="17" t="s">
        <v>459</v>
      </c>
    </row>
    <row r="315" spans="2:6" ht="15" customHeight="1">
      <c r="B315" s="14">
        <v>2024</v>
      </c>
      <c r="C315" s="31" t="s">
        <v>461</v>
      </c>
      <c r="D315" s="26">
        <f>transport_kaubik_tavaelekter_km_2024/1.2</f>
        <v>0.14826249999999999</v>
      </c>
      <c r="E315" s="17" t="s">
        <v>462</v>
      </c>
      <c r="F315" s="17" t="s">
        <v>463</v>
      </c>
    </row>
    <row r="316" spans="2:6" ht="15" customHeight="1">
      <c r="B316" s="14">
        <v>2025</v>
      </c>
      <c r="C316" s="31" t="s">
        <v>461</v>
      </c>
      <c r="D316" s="26">
        <f>transport_kaubik_tavaelekter_km_2025/1.2</f>
        <v>0.14826249999999999</v>
      </c>
      <c r="E316" s="17" t="s">
        <v>462</v>
      </c>
      <c r="F316" s="17" t="s">
        <v>463</v>
      </c>
    </row>
    <row r="317" spans="2:6" ht="15" customHeight="1">
      <c r="B317" s="14">
        <v>2026</v>
      </c>
      <c r="C317" s="31" t="s">
        <v>461</v>
      </c>
      <c r="D317" s="26">
        <f>transport_kaubik_tavaelekter_km_2026/1.2</f>
        <v>0</v>
      </c>
      <c r="E317" s="17" t="s">
        <v>462</v>
      </c>
      <c r="F317" s="17" t="s">
        <v>463</v>
      </c>
    </row>
    <row r="318" spans="2:6" ht="15" customHeight="1">
      <c r="B318" s="14">
        <v>2027</v>
      </c>
      <c r="C318" s="31" t="s">
        <v>461</v>
      </c>
      <c r="D318" s="26">
        <f>transport_kaubik_tavaelekter_km_2027/1.2</f>
        <v>0</v>
      </c>
      <c r="E318" s="17" t="s">
        <v>462</v>
      </c>
      <c r="F318" s="17" t="s">
        <v>463</v>
      </c>
    </row>
    <row r="319" spans="2:6" ht="15" customHeight="1">
      <c r="B319" s="14">
        <v>2028</v>
      </c>
      <c r="C319" s="31" t="s">
        <v>461</v>
      </c>
      <c r="D319" s="26">
        <f>transport_kaubik_tavaelekter_km_2028/1.2</f>
        <v>0</v>
      </c>
      <c r="E319" s="17" t="s">
        <v>462</v>
      </c>
      <c r="F319" s="17" t="s">
        <v>463</v>
      </c>
    </row>
    <row r="320" spans="2:6" ht="15" customHeight="1">
      <c r="B320" s="14">
        <v>2029</v>
      </c>
      <c r="C320" s="30" t="s">
        <v>461</v>
      </c>
      <c r="D320" s="16">
        <f>transport_kaubik_tavaelekter_km_2029/1.2</f>
        <v>0</v>
      </c>
      <c r="E320" s="23" t="s">
        <v>452</v>
      </c>
      <c r="F320" s="23" t="s">
        <v>463</v>
      </c>
    </row>
    <row r="321" spans="2:6" ht="15" customHeight="1">
      <c r="B321" s="14">
        <v>2030</v>
      </c>
      <c r="C321" s="30" t="s">
        <v>461</v>
      </c>
      <c r="D321" s="16">
        <f>transport_kaubik_tavaelekter_km_2030/1.2</f>
        <v>0</v>
      </c>
      <c r="E321" s="23" t="s">
        <v>452</v>
      </c>
      <c r="F321" s="23" t="s">
        <v>463</v>
      </c>
    </row>
    <row r="322" spans="2:6" ht="15" customHeight="1">
      <c r="B322" s="14">
        <v>2024</v>
      </c>
      <c r="C322" s="23" t="s">
        <v>464</v>
      </c>
      <c r="D322" s="26">
        <v>0.66221142936953203</v>
      </c>
      <c r="E322" s="23" t="s">
        <v>377</v>
      </c>
      <c r="F322" s="23" t="s">
        <v>465</v>
      </c>
    </row>
    <row r="323" spans="2:6" ht="15" customHeight="1">
      <c r="B323" s="14">
        <v>2025</v>
      </c>
      <c r="C323" s="23" t="s">
        <v>464</v>
      </c>
      <c r="D323" s="544">
        <v>0.66221142936953203</v>
      </c>
      <c r="E323" s="23" t="s">
        <v>377</v>
      </c>
      <c r="F323" s="23" t="s">
        <v>466</v>
      </c>
    </row>
    <row r="324" spans="2:6" ht="15" customHeight="1">
      <c r="B324" s="14">
        <v>2026</v>
      </c>
      <c r="C324" s="23" t="s">
        <v>464</v>
      </c>
      <c r="D324" s="18"/>
      <c r="E324" s="23" t="s">
        <v>377</v>
      </c>
      <c r="F324" s="23" t="s">
        <v>467</v>
      </c>
    </row>
    <row r="325" spans="2:6" ht="15" customHeight="1">
      <c r="B325" s="14">
        <v>2027</v>
      </c>
      <c r="C325" s="23" t="s">
        <v>464</v>
      </c>
      <c r="D325" s="18"/>
      <c r="E325" s="23" t="s">
        <v>377</v>
      </c>
      <c r="F325" s="23" t="s">
        <v>468</v>
      </c>
    </row>
    <row r="326" spans="2:6" ht="15" customHeight="1">
      <c r="B326" s="14">
        <v>2028</v>
      </c>
      <c r="C326" s="23" t="s">
        <v>464</v>
      </c>
      <c r="D326" s="18"/>
      <c r="E326" s="23" t="s">
        <v>377</v>
      </c>
      <c r="F326" s="23" t="s">
        <v>469</v>
      </c>
    </row>
    <row r="327" spans="2:6" ht="15" customHeight="1">
      <c r="B327" s="14">
        <v>2029</v>
      </c>
      <c r="C327" s="23" t="s">
        <v>464</v>
      </c>
      <c r="D327" s="18"/>
      <c r="E327" s="23" t="s">
        <v>377</v>
      </c>
      <c r="F327" s="23" t="s">
        <v>470</v>
      </c>
    </row>
    <row r="328" spans="2:6" ht="15" customHeight="1">
      <c r="B328" s="14">
        <v>2030</v>
      </c>
      <c r="C328" s="23" t="s">
        <v>464</v>
      </c>
      <c r="D328" s="18"/>
      <c r="E328" s="23" t="s">
        <v>377</v>
      </c>
      <c r="F328" s="23" t="s">
        <v>471</v>
      </c>
    </row>
    <row r="329" spans="2:6" ht="15" customHeight="1">
      <c r="B329" s="14">
        <v>2024</v>
      </c>
      <c r="C329" s="23" t="s">
        <v>472</v>
      </c>
      <c r="D329" s="16">
        <v>0.21912226020229811</v>
      </c>
      <c r="E329" s="23" t="s">
        <v>377</v>
      </c>
      <c r="F329" s="23" t="s">
        <v>473</v>
      </c>
    </row>
    <row r="330" spans="2:6" ht="15" customHeight="1">
      <c r="B330" s="14">
        <v>2025</v>
      </c>
      <c r="C330" s="23" t="s">
        <v>472</v>
      </c>
      <c r="D330" s="544">
        <v>0.21912226020229811</v>
      </c>
      <c r="E330" s="23" t="s">
        <v>377</v>
      </c>
      <c r="F330" s="23" t="s">
        <v>474</v>
      </c>
    </row>
    <row r="331" spans="2:6" ht="15" customHeight="1">
      <c r="B331" s="14">
        <v>2026</v>
      </c>
      <c r="C331" s="23" t="s">
        <v>472</v>
      </c>
      <c r="D331" s="16"/>
      <c r="E331" s="23" t="s">
        <v>377</v>
      </c>
      <c r="F331" s="23" t="s">
        <v>475</v>
      </c>
    </row>
    <row r="332" spans="2:6" ht="15" customHeight="1">
      <c r="B332" s="14">
        <v>2027</v>
      </c>
      <c r="C332" s="23" t="s">
        <v>472</v>
      </c>
      <c r="D332" s="16"/>
      <c r="E332" s="23" t="s">
        <v>377</v>
      </c>
      <c r="F332" s="23" t="s">
        <v>476</v>
      </c>
    </row>
    <row r="333" spans="2:6" ht="15" customHeight="1">
      <c r="B333" s="14">
        <v>2028</v>
      </c>
      <c r="C333" s="23" t="s">
        <v>472</v>
      </c>
      <c r="D333" s="16"/>
      <c r="E333" s="23" t="s">
        <v>377</v>
      </c>
      <c r="F333" s="23" t="s">
        <v>477</v>
      </c>
    </row>
    <row r="334" spans="2:6" ht="15" customHeight="1">
      <c r="B334" s="14">
        <v>2029</v>
      </c>
      <c r="C334" s="23" t="s">
        <v>472</v>
      </c>
      <c r="D334" s="16"/>
      <c r="E334" s="23" t="s">
        <v>377</v>
      </c>
      <c r="F334" s="23" t="s">
        <v>478</v>
      </c>
    </row>
    <row r="335" spans="2:6" ht="15" customHeight="1">
      <c r="B335" s="14">
        <v>2030</v>
      </c>
      <c r="C335" s="23" t="s">
        <v>472</v>
      </c>
      <c r="D335" s="16"/>
      <c r="E335" s="23" t="s">
        <v>377</v>
      </c>
      <c r="F335" s="23" t="s">
        <v>479</v>
      </c>
    </row>
    <row r="338" spans="2:6" ht="15" customHeight="1">
      <c r="B338" s="8" t="s">
        <v>480</v>
      </c>
      <c r="C338" s="9"/>
    </row>
    <row r="339" spans="2:6" ht="15" customHeight="1">
      <c r="B339" s="11" t="s">
        <v>481</v>
      </c>
      <c r="C339" s="51"/>
      <c r="D339" s="12" t="s">
        <v>290</v>
      </c>
      <c r="E339" s="12" t="s">
        <v>291</v>
      </c>
      <c r="F339" s="29" t="s">
        <v>292</v>
      </c>
    </row>
    <row r="340" spans="2:6" ht="15" customHeight="1">
      <c r="B340" s="14">
        <v>2024</v>
      </c>
      <c r="C340" s="31" t="s">
        <v>482</v>
      </c>
      <c r="D340" s="26">
        <v>0.74</v>
      </c>
      <c r="E340" s="23" t="s">
        <v>483</v>
      </c>
      <c r="F340" s="23" t="s">
        <v>484</v>
      </c>
    </row>
    <row r="341" spans="2:6" ht="15" customHeight="1">
      <c r="B341" s="14">
        <v>2025</v>
      </c>
      <c r="C341" s="31" t="s">
        <v>482</v>
      </c>
      <c r="D341" s="26">
        <v>0.73</v>
      </c>
      <c r="E341" s="23" t="s">
        <v>483</v>
      </c>
      <c r="F341" s="23" t="s">
        <v>485</v>
      </c>
    </row>
    <row r="342" spans="2:6" ht="15" customHeight="1">
      <c r="B342" s="14">
        <v>2026</v>
      </c>
      <c r="C342" s="31" t="s">
        <v>482</v>
      </c>
      <c r="D342" s="26"/>
      <c r="E342" s="23" t="s">
        <v>483</v>
      </c>
      <c r="F342" s="23" t="s">
        <v>486</v>
      </c>
    </row>
    <row r="343" spans="2:6" ht="15" customHeight="1">
      <c r="B343" s="14">
        <v>2027</v>
      </c>
      <c r="C343" s="31" t="s">
        <v>482</v>
      </c>
      <c r="D343" s="26"/>
      <c r="E343" s="23" t="s">
        <v>483</v>
      </c>
      <c r="F343" s="23" t="s">
        <v>487</v>
      </c>
    </row>
    <row r="344" spans="2:6" ht="15" customHeight="1">
      <c r="B344" s="14">
        <v>2028</v>
      </c>
      <c r="C344" s="31" t="s">
        <v>482</v>
      </c>
      <c r="D344" s="26"/>
      <c r="E344" s="23" t="s">
        <v>488</v>
      </c>
      <c r="F344" s="23" t="s">
        <v>489</v>
      </c>
    </row>
    <row r="345" spans="2:6" ht="15" customHeight="1">
      <c r="B345" s="14">
        <v>2029</v>
      </c>
      <c r="C345" s="31" t="s">
        <v>482</v>
      </c>
      <c r="D345" s="26"/>
      <c r="E345" s="23" t="s">
        <v>490</v>
      </c>
      <c r="F345" s="23" t="s">
        <v>491</v>
      </c>
    </row>
    <row r="346" spans="2:6" ht="15" customHeight="1">
      <c r="B346" s="14">
        <v>2030</v>
      </c>
      <c r="C346" s="31" t="s">
        <v>482</v>
      </c>
      <c r="D346" s="26"/>
      <c r="E346" s="23" t="s">
        <v>492</v>
      </c>
      <c r="F346" s="23" t="s">
        <v>493</v>
      </c>
    </row>
    <row r="347" spans="2:6" ht="15" customHeight="1">
      <c r="B347" s="14">
        <v>2024</v>
      </c>
      <c r="C347" s="30" t="s">
        <v>494</v>
      </c>
      <c r="D347" s="56">
        <v>1.04431834</v>
      </c>
      <c r="E347" s="14" t="s">
        <v>332</v>
      </c>
      <c r="F347" s="23" t="s">
        <v>495</v>
      </c>
    </row>
    <row r="348" spans="2:6" ht="15" customHeight="1">
      <c r="B348" s="14">
        <v>2025</v>
      </c>
      <c r="C348" s="30" t="s">
        <v>494</v>
      </c>
      <c r="D348" s="547">
        <v>1.04431834</v>
      </c>
      <c r="E348" s="14" t="s">
        <v>332</v>
      </c>
      <c r="F348" s="23" t="s">
        <v>496</v>
      </c>
    </row>
    <row r="349" spans="2:6" ht="15" customHeight="1">
      <c r="B349" s="14">
        <v>2026</v>
      </c>
      <c r="C349" s="30" t="s">
        <v>494</v>
      </c>
      <c r="D349" s="56"/>
      <c r="E349" s="14" t="s">
        <v>332</v>
      </c>
      <c r="F349" s="23" t="s">
        <v>497</v>
      </c>
    </row>
    <row r="350" spans="2:6" ht="15" customHeight="1">
      <c r="B350" s="14">
        <v>2027</v>
      </c>
      <c r="C350" s="30" t="s">
        <v>494</v>
      </c>
      <c r="D350" s="56"/>
      <c r="E350" s="14" t="s">
        <v>332</v>
      </c>
      <c r="F350" s="23" t="s">
        <v>498</v>
      </c>
    </row>
    <row r="351" spans="2:6" ht="15" customHeight="1">
      <c r="B351" s="14">
        <v>2028</v>
      </c>
      <c r="C351" s="30" t="s">
        <v>494</v>
      </c>
      <c r="D351" s="56"/>
      <c r="E351" s="14" t="s">
        <v>332</v>
      </c>
      <c r="F351" s="23" t="s">
        <v>499</v>
      </c>
    </row>
    <row r="352" spans="2:6" ht="15" customHeight="1">
      <c r="B352" s="14">
        <v>2029</v>
      </c>
      <c r="C352" s="30" t="s">
        <v>494</v>
      </c>
      <c r="D352" s="56"/>
      <c r="E352" s="14" t="s">
        <v>332</v>
      </c>
      <c r="F352" s="23" t="s">
        <v>500</v>
      </c>
    </row>
    <row r="353" spans="2:6" ht="15" customHeight="1">
      <c r="B353" s="14">
        <v>2030</v>
      </c>
      <c r="C353" s="30" t="s">
        <v>494</v>
      </c>
      <c r="D353" s="56"/>
      <c r="E353" s="14" t="s">
        <v>332</v>
      </c>
      <c r="F353" s="23" t="s">
        <v>501</v>
      </c>
    </row>
    <row r="354" spans="2:6" ht="15" customHeight="1">
      <c r="B354" s="14">
        <v>2024</v>
      </c>
      <c r="C354" s="23" t="s">
        <v>502</v>
      </c>
      <c r="D354" s="16">
        <v>3.0478425559947297E-3</v>
      </c>
      <c r="E354" s="14" t="s">
        <v>503</v>
      </c>
      <c r="F354" s="23" t="s">
        <v>504</v>
      </c>
    </row>
    <row r="355" spans="2:6" ht="15" customHeight="1">
      <c r="B355" s="14">
        <v>2024</v>
      </c>
      <c r="C355" s="23" t="s">
        <v>505</v>
      </c>
      <c r="D355" s="16">
        <v>1.5357142857142857E-3</v>
      </c>
      <c r="E355" s="14" t="s">
        <v>503</v>
      </c>
      <c r="F355" s="23" t="s">
        <v>506</v>
      </c>
    </row>
    <row r="356" spans="2:6" ht="15" customHeight="1">
      <c r="B356" s="14">
        <v>2024</v>
      </c>
      <c r="C356" s="23" t="s">
        <v>507</v>
      </c>
      <c r="D356" s="16">
        <v>3.8580808080808078E-3</v>
      </c>
      <c r="E356" s="14" t="s">
        <v>508</v>
      </c>
      <c r="F356" s="23" t="s">
        <v>509</v>
      </c>
    </row>
    <row r="359" spans="2:6" ht="15" customHeight="1">
      <c r="B359" s="8" t="s">
        <v>510</v>
      </c>
      <c r="C359" s="50"/>
      <c r="D359" s="20"/>
      <c r="E359" s="21"/>
    </row>
    <row r="360" spans="2:6" ht="15" customHeight="1">
      <c r="B360" s="11" t="s">
        <v>511</v>
      </c>
      <c r="C360" s="51"/>
      <c r="D360" s="52" t="s">
        <v>290</v>
      </c>
      <c r="E360" s="12" t="s">
        <v>291</v>
      </c>
      <c r="F360" s="29" t="s">
        <v>292</v>
      </c>
    </row>
    <row r="361" spans="2:6" ht="15" customHeight="1">
      <c r="B361" s="30" t="s">
        <v>512</v>
      </c>
      <c r="C361" s="44"/>
      <c r="D361" s="57">
        <v>28.688787462174144</v>
      </c>
      <c r="E361" s="14" t="s">
        <v>513</v>
      </c>
      <c r="F361" s="23" t="s">
        <v>514</v>
      </c>
    </row>
    <row r="362" spans="2:6" ht="15" customHeight="1">
      <c r="B362" s="58" t="s">
        <v>515</v>
      </c>
      <c r="C362" s="59"/>
      <c r="D362" s="57">
        <v>28.688787462174144</v>
      </c>
      <c r="E362" s="14" t="s">
        <v>513</v>
      </c>
      <c r="F362" s="23" t="s">
        <v>514</v>
      </c>
    </row>
    <row r="363" spans="2:6" ht="15" customHeight="1">
      <c r="B363" s="30" t="s">
        <v>516</v>
      </c>
      <c r="C363" s="44"/>
      <c r="D363" s="57">
        <v>28.688787462174144</v>
      </c>
      <c r="E363" s="14" t="s">
        <v>513</v>
      </c>
      <c r="F363" s="23" t="s">
        <v>514</v>
      </c>
    </row>
    <row r="364" spans="2:6" ht="15" customHeight="1">
      <c r="B364" s="30" t="s">
        <v>517</v>
      </c>
      <c r="C364" s="44"/>
      <c r="D364" s="57">
        <v>28.688787462174144</v>
      </c>
      <c r="E364" s="14" t="s">
        <v>513</v>
      </c>
      <c r="F364" s="23" t="s">
        <v>514</v>
      </c>
    </row>
    <row r="365" spans="2:6" ht="15" customHeight="1">
      <c r="B365" s="30" t="s">
        <v>518</v>
      </c>
      <c r="C365" s="44"/>
      <c r="D365" s="57">
        <v>620</v>
      </c>
      <c r="E365" s="14" t="s">
        <v>513</v>
      </c>
      <c r="F365" s="23" t="s">
        <v>519</v>
      </c>
    </row>
    <row r="366" spans="2:6" ht="15" customHeight="1">
      <c r="B366" s="30" t="s">
        <v>520</v>
      </c>
      <c r="C366" s="44"/>
      <c r="D366" s="57">
        <v>547.6887874621741</v>
      </c>
      <c r="E366" s="14" t="s">
        <v>513</v>
      </c>
      <c r="F366" s="23" t="s">
        <v>521</v>
      </c>
    </row>
    <row r="369" spans="2:5" ht="15" customHeight="1">
      <c r="B369" s="8" t="s">
        <v>277</v>
      </c>
      <c r="C369" s="50"/>
    </row>
    <row r="370" spans="2:5" ht="15" customHeight="1">
      <c r="B370" s="11" t="s">
        <v>522</v>
      </c>
      <c r="C370" s="51"/>
      <c r="D370" s="52" t="s">
        <v>368</v>
      </c>
      <c r="E370" s="12" t="s">
        <v>291</v>
      </c>
    </row>
    <row r="371" spans="2:5" ht="15" customHeight="1">
      <c r="B371" s="30" t="s">
        <v>523</v>
      </c>
      <c r="C371" s="44"/>
      <c r="D371" s="60">
        <v>80</v>
      </c>
      <c r="E371" s="23" t="s">
        <v>81</v>
      </c>
    </row>
    <row r="372" spans="2:5" ht="15" customHeight="1">
      <c r="B372" s="30" t="s">
        <v>524</v>
      </c>
      <c r="C372" s="44"/>
      <c r="D372" s="60">
        <f>D371/16</f>
        <v>5</v>
      </c>
      <c r="E372" s="23" t="s">
        <v>81</v>
      </c>
    </row>
    <row r="373" spans="2:5" ht="15" customHeight="1">
      <c r="B373" s="30" t="s">
        <v>525</v>
      </c>
      <c r="C373" s="44"/>
      <c r="D373" s="49">
        <v>2.7315789473684209</v>
      </c>
      <c r="E373" s="23" t="s">
        <v>81</v>
      </c>
    </row>
    <row r="374" spans="2:5" ht="15" customHeight="1">
      <c r="B374" s="30" t="s">
        <v>526</v>
      </c>
      <c r="C374" s="44"/>
      <c r="D374" s="49">
        <v>1.2476777777777779</v>
      </c>
      <c r="E374" s="23" t="s">
        <v>81</v>
      </c>
    </row>
    <row r="375" spans="2:5" ht="15" customHeight="1">
      <c r="B375" s="30" t="s">
        <v>527</v>
      </c>
      <c r="C375" s="44"/>
      <c r="D375" s="49">
        <v>3.8021979759645794</v>
      </c>
      <c r="E375" s="23" t="s">
        <v>81</v>
      </c>
    </row>
    <row r="376" spans="2:5" ht="15" customHeight="1">
      <c r="D376" s="47"/>
    </row>
    <row r="377" spans="2:5" ht="15" customHeight="1">
      <c r="B377" s="61" t="s">
        <v>528</v>
      </c>
    </row>
    <row r="378" spans="2:5" ht="15" customHeight="1">
      <c r="B378" s="10" t="s">
        <v>299</v>
      </c>
    </row>
    <row r="379" spans="2:5" ht="15" customHeight="1">
      <c r="B379" s="10" t="s">
        <v>305</v>
      </c>
    </row>
    <row r="380" spans="2:5" ht="15" customHeight="1">
      <c r="B380" s="10" t="s">
        <v>310</v>
      </c>
    </row>
    <row r="381" spans="2:5" ht="15" customHeight="1">
      <c r="B381" s="10" t="s">
        <v>529</v>
      </c>
    </row>
    <row r="383" spans="2:5" ht="15" customHeight="1">
      <c r="B383" s="61" t="s">
        <v>530</v>
      </c>
    </row>
    <row r="384" spans="2:5" ht="15" customHeight="1">
      <c r="B384" s="10" t="s">
        <v>312</v>
      </c>
    </row>
    <row r="385" spans="2:2" ht="15" customHeight="1">
      <c r="B385" s="10" t="s">
        <v>320</v>
      </c>
    </row>
    <row r="386" spans="2:2" ht="15" customHeight="1">
      <c r="B386" s="10" t="s">
        <v>531</v>
      </c>
    </row>
    <row r="387" spans="2:2" ht="15" customHeight="1">
      <c r="B387" s="10" t="s">
        <v>322</v>
      </c>
    </row>
    <row r="388" spans="2:2" ht="15" customHeight="1">
      <c r="B388" s="10" t="s">
        <v>532</v>
      </c>
    </row>
    <row r="390" spans="2:2" ht="15" customHeight="1">
      <c r="B390" s="61"/>
    </row>
    <row r="391" spans="2:2" ht="15" customHeight="1">
      <c r="B391" s="10" t="s">
        <v>533</v>
      </c>
    </row>
    <row r="392" spans="2:2" ht="15" customHeight="1">
      <c r="B392" s="10" t="s">
        <v>534</v>
      </c>
    </row>
    <row r="1048563" spans="5:5" ht="15" customHeight="1">
      <c r="E1048563" s="10">
        <f>SUM(E1:E1048562)</f>
        <v>0</v>
      </c>
    </row>
  </sheetData>
  <sortState xmlns:xlrd2="http://schemas.microsoft.com/office/spreadsheetml/2017/richdata2" ref="B152:E162">
    <sortCondition ref="B152:B162"/>
  </sortState>
  <mergeCells count="1">
    <mergeCell ref="B3:F3"/>
  </mergeCells>
  <phoneticPr fontId="7" type="noConversion"/>
  <hyperlinks>
    <hyperlink ref="B163" r:id="rId1" location="ftn2" xr:uid="{BD8653DF-49B4-4BE4-B87D-C3244238A6AF}"/>
  </hyperlinks>
  <pageMargins left="0.7" right="0.7" top="0.75" bottom="0.75" header="0.3" footer="0.3"/>
  <pageSetup orientation="portrait" horizontalDpi="4294967295" verticalDpi="4294967295"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1ECDE"/>
    <pageSetUpPr fitToPage="1"/>
  </sheetPr>
  <dimension ref="A2:AR44"/>
  <sheetViews>
    <sheetView showGridLines="0" zoomScaleNormal="100" workbookViewId="0">
      <pane xSplit="1" ySplit="2" topLeftCell="N11" activePane="bottomRight" state="frozen"/>
      <selection pane="bottomRight" activeCell="N11" sqref="N11"/>
      <selection pane="bottomLeft" activeCell="N14" sqref="N14"/>
      <selection pane="topRight" activeCell="N14" sqref="N14"/>
    </sheetView>
  </sheetViews>
  <sheetFormatPr defaultColWidth="9.140625" defaultRowHeight="15"/>
  <cols>
    <col min="1" max="1" width="2.5703125" style="1" customWidth="1"/>
    <col min="2" max="2" width="7.5703125" style="1" customWidth="1"/>
    <col min="3" max="3" width="45.140625" style="1" bestFit="1" customWidth="1"/>
    <col min="4" max="4" width="9.42578125" style="4" bestFit="1" customWidth="1"/>
    <col min="5" max="10" width="9.42578125" style="4"/>
    <col min="11" max="15" width="9.140625" style="1"/>
    <col min="16" max="16" width="15.5703125" style="1" customWidth="1"/>
    <col min="17" max="16384" width="9.140625" style="1"/>
  </cols>
  <sheetData>
    <row r="2" spans="1:44" ht="18.75">
      <c r="B2" s="94" t="s">
        <v>12</v>
      </c>
    </row>
    <row r="3" spans="1:44">
      <c r="B3" s="631" t="s">
        <v>13</v>
      </c>
      <c r="C3" s="631"/>
      <c r="D3" s="631"/>
      <c r="E3" s="631"/>
      <c r="F3" s="631"/>
      <c r="G3" s="631"/>
      <c r="H3" s="631"/>
      <c r="I3" s="631"/>
      <c r="J3" s="631"/>
      <c r="K3" s="631"/>
      <c r="L3" s="631"/>
      <c r="M3" s="631"/>
      <c r="N3" s="631"/>
      <c r="O3" s="631"/>
      <c r="P3" s="631"/>
    </row>
    <row r="4" spans="1:44" ht="139.5" customHeight="1">
      <c r="B4" s="632" t="s">
        <v>14</v>
      </c>
      <c r="C4" s="633"/>
      <c r="D4" s="633"/>
      <c r="E4" s="633"/>
      <c r="F4" s="633"/>
      <c r="G4" s="633"/>
      <c r="H4" s="633"/>
      <c r="I4" s="633"/>
      <c r="J4" s="633"/>
      <c r="K4" s="633"/>
      <c r="L4" s="633"/>
      <c r="M4" s="633"/>
      <c r="N4" s="633"/>
      <c r="O4" s="633"/>
      <c r="P4" s="633"/>
    </row>
    <row r="5" spans="1:44" ht="15" customHeight="1">
      <c r="C5" s="94"/>
    </row>
    <row r="6" spans="1:44">
      <c r="A6" s="275"/>
      <c r="B6" s="99" t="s">
        <v>15</v>
      </c>
      <c r="D6" s="184"/>
      <c r="E6" s="184"/>
      <c r="F6" s="184"/>
      <c r="G6" s="184"/>
      <c r="H6" s="184"/>
      <c r="I6" s="184"/>
    </row>
    <row r="7" spans="1:44" ht="14.85" customHeight="1">
      <c r="A7" s="183"/>
      <c r="B7" s="183"/>
      <c r="C7" s="290" t="s">
        <v>16</v>
      </c>
      <c r="D7" s="1"/>
      <c r="E7" s="1"/>
      <c r="F7" s="289"/>
      <c r="G7" s="184"/>
      <c r="H7" s="184"/>
      <c r="I7" s="184"/>
    </row>
    <row r="8" spans="1:44" ht="14.85" customHeight="1">
      <c r="A8" s="183"/>
      <c r="B8" s="183"/>
      <c r="C8" s="278" t="s">
        <v>17</v>
      </c>
      <c r="D8" s="184"/>
      <c r="E8" s="1"/>
      <c r="F8" s="184"/>
      <c r="G8" s="184"/>
      <c r="H8" s="184"/>
      <c r="I8" s="184"/>
    </row>
    <row r="9" spans="1:44" ht="15.75" thickBot="1">
      <c r="A9" s="6"/>
      <c r="B9" s="6"/>
    </row>
    <row r="10" spans="1:44">
      <c r="A10" s="6"/>
      <c r="B10" s="6"/>
      <c r="C10" s="409" t="s">
        <v>18</v>
      </c>
      <c r="D10" s="432"/>
      <c r="E10" s="426"/>
      <c r="F10" s="426"/>
      <c r="G10" s="426"/>
      <c r="H10" s="426"/>
      <c r="I10" s="426"/>
      <c r="J10" s="427"/>
    </row>
    <row r="11" spans="1:44">
      <c r="A11" s="6"/>
      <c r="B11" s="6"/>
      <c r="C11" s="410" t="s">
        <v>19</v>
      </c>
      <c r="D11" s="433"/>
      <c r="E11" s="428"/>
      <c r="F11" s="428"/>
      <c r="G11" s="428"/>
      <c r="H11" s="428"/>
      <c r="I11" s="428"/>
      <c r="J11" s="429"/>
    </row>
    <row r="12" spans="1:44" ht="15.75" thickBot="1">
      <c r="A12" s="6"/>
      <c r="B12" s="6"/>
      <c r="C12" s="411" t="s">
        <v>20</v>
      </c>
      <c r="D12" s="434"/>
      <c r="E12" s="430"/>
      <c r="F12" s="430"/>
      <c r="G12" s="430"/>
      <c r="H12" s="430"/>
      <c r="I12" s="430"/>
      <c r="J12" s="431"/>
      <c r="AR12" s="2"/>
    </row>
    <row r="13" spans="1:44">
      <c r="A13" s="6"/>
      <c r="B13" s="6"/>
      <c r="AR13" s="2"/>
    </row>
    <row r="14" spans="1:44">
      <c r="A14" s="6"/>
      <c r="B14" s="6"/>
      <c r="C14" s="634" t="s">
        <v>21</v>
      </c>
      <c r="D14" s="636">
        <v>2024</v>
      </c>
      <c r="E14" s="640">
        <v>2025</v>
      </c>
      <c r="F14" s="640">
        <v>2026</v>
      </c>
      <c r="G14" s="640">
        <v>2027</v>
      </c>
      <c r="H14" s="640">
        <v>2028</v>
      </c>
      <c r="I14" s="640">
        <v>2029</v>
      </c>
      <c r="J14" s="638">
        <v>2030</v>
      </c>
    </row>
    <row r="15" spans="1:44" ht="15.75" thickBot="1">
      <c r="A15" s="276"/>
      <c r="B15" s="276"/>
      <c r="C15" s="635"/>
      <c r="D15" s="637"/>
      <c r="E15" s="641"/>
      <c r="F15" s="641"/>
      <c r="G15" s="641"/>
      <c r="H15" s="641"/>
      <c r="I15" s="641"/>
      <c r="J15" s="639"/>
    </row>
    <row r="16" spans="1:44">
      <c r="A16" s="276"/>
      <c r="B16" s="276"/>
      <c r="C16" s="464" t="s">
        <v>22</v>
      </c>
      <c r="D16" s="420"/>
      <c r="E16" s="421"/>
      <c r="F16" s="421"/>
      <c r="G16" s="421"/>
      <c r="H16" s="421"/>
      <c r="I16" s="421"/>
      <c r="J16" s="422"/>
      <c r="K16" s="64"/>
      <c r="L16" s="151"/>
      <c r="N16" s="82"/>
    </row>
    <row r="17" spans="1:16">
      <c r="A17" s="276"/>
      <c r="B17" s="276"/>
      <c r="C17" s="119" t="s">
        <v>23</v>
      </c>
      <c r="D17" s="471"/>
      <c r="E17" s="472"/>
      <c r="F17" s="472"/>
      <c r="G17" s="472"/>
      <c r="H17" s="472"/>
      <c r="I17" s="472"/>
      <c r="J17" s="473"/>
      <c r="K17" s="64"/>
    </row>
    <row r="18" spans="1:16">
      <c r="A18" s="276"/>
      <c r="B18" s="276"/>
      <c r="C18" s="412" t="s">
        <v>24</v>
      </c>
      <c r="D18" s="414"/>
      <c r="E18" s="291"/>
      <c r="F18" s="291"/>
      <c r="G18" s="291"/>
      <c r="H18" s="291"/>
      <c r="I18" s="291"/>
      <c r="J18" s="319"/>
      <c r="K18" s="64"/>
    </row>
    <row r="19" spans="1:16">
      <c r="A19" s="276"/>
      <c r="B19" s="276"/>
      <c r="C19" s="412" t="s">
        <v>25</v>
      </c>
      <c r="D19" s="416"/>
      <c r="E19" s="417"/>
      <c r="F19" s="417"/>
      <c r="G19" s="418"/>
      <c r="H19" s="417"/>
      <c r="I19" s="417"/>
      <c r="J19" s="419"/>
    </row>
    <row r="20" spans="1:16">
      <c r="A20" s="276"/>
      <c r="B20" s="276"/>
      <c r="C20" s="412" t="s">
        <v>26</v>
      </c>
      <c r="D20" s="435">
        <f>P24</f>
        <v>0</v>
      </c>
      <c r="E20" s="436">
        <f>P27</f>
        <v>0</v>
      </c>
      <c r="F20" s="436">
        <f>P30</f>
        <v>0</v>
      </c>
      <c r="G20" s="436">
        <f>P33</f>
        <v>0</v>
      </c>
      <c r="H20" s="436">
        <f>P36</f>
        <v>0</v>
      </c>
      <c r="I20" s="436">
        <f>P39</f>
        <v>0</v>
      </c>
      <c r="J20" s="437">
        <f>P42</f>
        <v>0</v>
      </c>
    </row>
    <row r="21" spans="1:16" ht="15.75" thickBot="1">
      <c r="A21" s="276"/>
      <c r="B21" s="276"/>
      <c r="C21" s="413" t="s">
        <v>27</v>
      </c>
      <c r="D21" s="438">
        <f>P26</f>
        <v>0</v>
      </c>
      <c r="E21" s="439">
        <f>P29</f>
        <v>0</v>
      </c>
      <c r="F21" s="439">
        <f>P32</f>
        <v>0</v>
      </c>
      <c r="G21" s="439">
        <f>P35</f>
        <v>0</v>
      </c>
      <c r="H21" s="439">
        <f>P38</f>
        <v>0</v>
      </c>
      <c r="I21" s="439">
        <f>P41</f>
        <v>0</v>
      </c>
      <c r="J21" s="440">
        <f>P44</f>
        <v>0</v>
      </c>
    </row>
    <row r="22" spans="1:16" ht="15.75" thickBot="1"/>
    <row r="23" spans="1:16" s="277" customFormat="1" ht="30.75" customHeight="1" thickBot="1">
      <c r="B23" s="283" t="s">
        <v>28</v>
      </c>
      <c r="C23" s="284" t="s">
        <v>29</v>
      </c>
      <c r="D23" s="285" t="s">
        <v>30</v>
      </c>
      <c r="E23" s="286" t="s">
        <v>31</v>
      </c>
      <c r="F23" s="286" t="s">
        <v>32</v>
      </c>
      <c r="G23" s="286" t="s">
        <v>33</v>
      </c>
      <c r="H23" s="286" t="s">
        <v>34</v>
      </c>
      <c r="I23" s="286" t="s">
        <v>35</v>
      </c>
      <c r="J23" s="286" t="s">
        <v>36</v>
      </c>
      <c r="K23" s="286" t="s">
        <v>37</v>
      </c>
      <c r="L23" s="286" t="s">
        <v>38</v>
      </c>
      <c r="M23" s="286" t="s">
        <v>39</v>
      </c>
      <c r="N23" s="286" t="s">
        <v>40</v>
      </c>
      <c r="O23" s="287" t="s">
        <v>41</v>
      </c>
      <c r="P23" s="288" t="s">
        <v>42</v>
      </c>
    </row>
    <row r="24" spans="1:16" s="277" customFormat="1">
      <c r="B24" s="281">
        <f>D14</f>
        <v>2024</v>
      </c>
      <c r="C24" s="321" t="s">
        <v>43</v>
      </c>
      <c r="D24" s="393"/>
      <c r="E24" s="389"/>
      <c r="F24" s="389"/>
      <c r="G24" s="389"/>
      <c r="H24" s="389"/>
      <c r="I24" s="389"/>
      <c r="J24" s="389"/>
      <c r="K24" s="389"/>
      <c r="L24" s="389"/>
      <c r="M24" s="389"/>
      <c r="N24" s="389"/>
      <c r="O24" s="394"/>
      <c r="P24" s="279">
        <f>SUM(D24:O24)</f>
        <v>0</v>
      </c>
    </row>
    <row r="25" spans="1:16" s="277" customFormat="1">
      <c r="B25" s="379"/>
      <c r="C25" s="463" t="s">
        <v>44</v>
      </c>
      <c r="D25" s="572"/>
      <c r="E25" s="573"/>
      <c r="F25" s="573"/>
      <c r="G25" s="573"/>
      <c r="H25" s="573"/>
      <c r="I25" s="573"/>
      <c r="J25" s="573"/>
      <c r="K25" s="573"/>
      <c r="L25" s="573"/>
      <c r="M25" s="573"/>
      <c r="N25" s="573"/>
      <c r="O25" s="574"/>
      <c r="P25" s="279">
        <f>SUM(D25:O25)</f>
        <v>0</v>
      </c>
    </row>
    <row r="26" spans="1:16" s="277" customFormat="1" ht="15.75" thickBot="1">
      <c r="B26" s="379"/>
      <c r="C26" s="380" t="s">
        <v>27</v>
      </c>
      <c r="D26" s="395"/>
      <c r="E26" s="570"/>
      <c r="F26" s="570"/>
      <c r="G26" s="570"/>
      <c r="H26" s="570"/>
      <c r="I26" s="570"/>
      <c r="J26" s="570"/>
      <c r="K26" s="570"/>
      <c r="L26" s="570"/>
      <c r="M26" s="570"/>
      <c r="N26" s="570"/>
      <c r="O26" s="571"/>
      <c r="P26" s="381">
        <f>SUM(D26:O26)</f>
        <v>0</v>
      </c>
    </row>
    <row r="27" spans="1:16" s="277" customFormat="1">
      <c r="B27" s="281">
        <f>E14</f>
        <v>2025</v>
      </c>
      <c r="C27" s="321" t="s">
        <v>43</v>
      </c>
      <c r="D27" s="393"/>
      <c r="E27" s="389"/>
      <c r="F27" s="389"/>
      <c r="G27" s="389"/>
      <c r="H27" s="389"/>
      <c r="I27" s="389"/>
      <c r="J27" s="389"/>
      <c r="K27" s="389"/>
      <c r="L27" s="389"/>
      <c r="M27" s="389"/>
      <c r="N27" s="389"/>
      <c r="O27" s="394"/>
      <c r="P27" s="382">
        <f t="shared" ref="P27:P44" si="0">SUM(D27:O27)</f>
        <v>0</v>
      </c>
    </row>
    <row r="28" spans="1:16" s="277" customFormat="1">
      <c r="B28" s="379"/>
      <c r="C28" s="463" t="s">
        <v>44</v>
      </c>
      <c r="D28" s="572"/>
      <c r="E28" s="573"/>
      <c r="F28" s="573"/>
      <c r="G28" s="573"/>
      <c r="H28" s="387"/>
      <c r="I28" s="387"/>
      <c r="J28" s="387"/>
      <c r="K28" s="387"/>
      <c r="L28" s="387"/>
      <c r="M28" s="387"/>
      <c r="N28" s="387"/>
      <c r="O28" s="470"/>
      <c r="P28" s="279">
        <f>SUM(D28:O28)</f>
        <v>0</v>
      </c>
    </row>
    <row r="29" spans="1:16" s="277" customFormat="1" ht="15.75" thickBot="1">
      <c r="B29" s="383"/>
      <c r="C29" s="380" t="s">
        <v>27</v>
      </c>
      <c r="D29" s="395"/>
      <c r="E29" s="570"/>
      <c r="F29" s="570"/>
      <c r="G29" s="570"/>
      <c r="H29" s="388"/>
      <c r="I29" s="388"/>
      <c r="J29" s="388"/>
      <c r="K29" s="388"/>
      <c r="L29" s="388"/>
      <c r="M29" s="388"/>
      <c r="N29" s="388"/>
      <c r="O29" s="388"/>
      <c r="P29" s="320">
        <f t="shared" si="0"/>
        <v>0</v>
      </c>
    </row>
    <row r="30" spans="1:16" s="277" customFormat="1">
      <c r="B30" s="379">
        <f>F14</f>
        <v>2026</v>
      </c>
      <c r="C30" s="321" t="s">
        <v>43</v>
      </c>
      <c r="D30" s="393"/>
      <c r="E30" s="389"/>
      <c r="F30" s="389"/>
      <c r="G30" s="389"/>
      <c r="H30" s="389"/>
      <c r="I30" s="389"/>
      <c r="J30" s="389"/>
      <c r="K30" s="389"/>
      <c r="L30" s="389"/>
      <c r="M30" s="389"/>
      <c r="N30" s="389"/>
      <c r="O30" s="394"/>
      <c r="P30" s="279">
        <f t="shared" si="0"/>
        <v>0</v>
      </c>
    </row>
    <row r="31" spans="1:16" s="277" customFormat="1">
      <c r="B31" s="379"/>
      <c r="C31" s="463" t="s">
        <v>44</v>
      </c>
      <c r="D31" s="391"/>
      <c r="E31" s="387"/>
      <c r="F31" s="387"/>
      <c r="G31" s="387"/>
      <c r="H31" s="387"/>
      <c r="I31" s="387"/>
      <c r="J31" s="387"/>
      <c r="K31" s="387"/>
      <c r="L31" s="387"/>
      <c r="M31" s="387"/>
      <c r="N31" s="387"/>
      <c r="O31" s="470"/>
      <c r="P31" s="279">
        <f>SUM(D31:O31)</f>
        <v>0</v>
      </c>
    </row>
    <row r="32" spans="1:16" s="277" customFormat="1" ht="15.75" thickBot="1">
      <c r="B32" s="379"/>
      <c r="C32" s="380" t="s">
        <v>27</v>
      </c>
      <c r="D32" s="392"/>
      <c r="E32" s="388"/>
      <c r="F32" s="388"/>
      <c r="G32" s="388"/>
      <c r="H32" s="388"/>
      <c r="I32" s="388"/>
      <c r="J32" s="388"/>
      <c r="K32" s="388"/>
      <c r="L32" s="388"/>
      <c r="M32" s="388"/>
      <c r="N32" s="388"/>
      <c r="O32" s="388"/>
      <c r="P32" s="381">
        <f t="shared" si="0"/>
        <v>0</v>
      </c>
    </row>
    <row r="33" spans="2:16" s="277" customFormat="1">
      <c r="B33" s="281">
        <f>G14</f>
        <v>2027</v>
      </c>
      <c r="C33" s="321" t="s">
        <v>43</v>
      </c>
      <c r="D33" s="393"/>
      <c r="E33" s="389"/>
      <c r="F33" s="389"/>
      <c r="G33" s="389"/>
      <c r="H33" s="389"/>
      <c r="I33" s="389"/>
      <c r="J33" s="389"/>
      <c r="K33" s="389"/>
      <c r="L33" s="389"/>
      <c r="M33" s="389"/>
      <c r="N33" s="389"/>
      <c r="O33" s="394"/>
      <c r="P33" s="382">
        <f t="shared" si="0"/>
        <v>0</v>
      </c>
    </row>
    <row r="34" spans="2:16" s="277" customFormat="1">
      <c r="B34" s="379"/>
      <c r="C34" s="463" t="s">
        <v>44</v>
      </c>
      <c r="D34" s="391"/>
      <c r="E34" s="387"/>
      <c r="F34" s="387"/>
      <c r="G34" s="387"/>
      <c r="H34" s="387"/>
      <c r="I34" s="387"/>
      <c r="J34" s="387"/>
      <c r="K34" s="387"/>
      <c r="L34" s="387"/>
      <c r="M34" s="387"/>
      <c r="N34" s="387"/>
      <c r="O34" s="470"/>
      <c r="P34" s="279">
        <f>SUM(D34:O34)</f>
        <v>0</v>
      </c>
    </row>
    <row r="35" spans="2:16" s="277" customFormat="1" ht="15.75" thickBot="1">
      <c r="B35" s="383"/>
      <c r="C35" s="380" t="s">
        <v>27</v>
      </c>
      <c r="D35" s="392"/>
      <c r="E35" s="388"/>
      <c r="F35" s="388"/>
      <c r="G35" s="388"/>
      <c r="H35" s="388"/>
      <c r="I35" s="388"/>
      <c r="J35" s="388"/>
      <c r="K35" s="388"/>
      <c r="L35" s="388"/>
      <c r="M35" s="388"/>
      <c r="N35" s="388"/>
      <c r="O35" s="388"/>
      <c r="P35" s="320">
        <f t="shared" si="0"/>
        <v>0</v>
      </c>
    </row>
    <row r="36" spans="2:16" s="277" customFormat="1">
      <c r="B36" s="384">
        <f>H14</f>
        <v>2028</v>
      </c>
      <c r="C36" s="321" t="s">
        <v>43</v>
      </c>
      <c r="D36" s="393"/>
      <c r="E36" s="389"/>
      <c r="F36" s="389"/>
      <c r="G36" s="389"/>
      <c r="H36" s="389"/>
      <c r="I36" s="389"/>
      <c r="J36" s="389"/>
      <c r="K36" s="389"/>
      <c r="L36" s="389"/>
      <c r="M36" s="389"/>
      <c r="N36" s="389"/>
      <c r="O36" s="394"/>
      <c r="P36" s="279">
        <f t="shared" si="0"/>
        <v>0</v>
      </c>
    </row>
    <row r="37" spans="2:16" s="277" customFormat="1">
      <c r="B37" s="384"/>
      <c r="C37" s="463" t="s">
        <v>44</v>
      </c>
      <c r="D37" s="391"/>
      <c r="E37" s="387"/>
      <c r="F37" s="387"/>
      <c r="G37" s="387"/>
      <c r="H37" s="387"/>
      <c r="I37" s="387"/>
      <c r="J37" s="387"/>
      <c r="K37" s="387"/>
      <c r="L37" s="387"/>
      <c r="M37" s="387"/>
      <c r="N37" s="387"/>
      <c r="O37" s="470"/>
      <c r="P37" s="279">
        <f>SUM(D37:O37)</f>
        <v>0</v>
      </c>
    </row>
    <row r="38" spans="2:16" s="277" customFormat="1" ht="15.75" thickBot="1">
      <c r="B38" s="384"/>
      <c r="C38" s="380" t="s">
        <v>27</v>
      </c>
      <c r="D38" s="392"/>
      <c r="E38" s="388"/>
      <c r="F38" s="388"/>
      <c r="G38" s="388"/>
      <c r="H38" s="388"/>
      <c r="I38" s="388"/>
      <c r="J38" s="388"/>
      <c r="K38" s="388"/>
      <c r="L38" s="388"/>
      <c r="M38" s="388"/>
      <c r="N38" s="388"/>
      <c r="O38" s="388"/>
      <c r="P38" s="381">
        <f t="shared" si="0"/>
        <v>0</v>
      </c>
    </row>
    <row r="39" spans="2:16" s="277" customFormat="1">
      <c r="B39" s="385">
        <f>I14</f>
        <v>2029</v>
      </c>
      <c r="C39" s="321" t="s">
        <v>43</v>
      </c>
      <c r="D39" s="393"/>
      <c r="E39" s="389"/>
      <c r="F39" s="389"/>
      <c r="G39" s="389"/>
      <c r="H39" s="389"/>
      <c r="I39" s="389"/>
      <c r="J39" s="389"/>
      <c r="K39" s="389"/>
      <c r="L39" s="389"/>
      <c r="M39" s="389"/>
      <c r="N39" s="389"/>
      <c r="O39" s="394"/>
      <c r="P39" s="382">
        <f t="shared" si="0"/>
        <v>0</v>
      </c>
    </row>
    <row r="40" spans="2:16" s="277" customFormat="1">
      <c r="B40" s="384"/>
      <c r="C40" s="463" t="s">
        <v>44</v>
      </c>
      <c r="D40" s="391"/>
      <c r="E40" s="387"/>
      <c r="F40" s="387"/>
      <c r="G40" s="387"/>
      <c r="H40" s="387"/>
      <c r="I40" s="387"/>
      <c r="J40" s="387"/>
      <c r="K40" s="387"/>
      <c r="L40" s="387"/>
      <c r="M40" s="387"/>
      <c r="N40" s="387"/>
      <c r="O40" s="470"/>
      <c r="P40" s="279">
        <f>SUM(D40:O40)</f>
        <v>0</v>
      </c>
    </row>
    <row r="41" spans="2:16" s="277" customFormat="1" ht="15.75" thickBot="1">
      <c r="B41" s="386"/>
      <c r="C41" s="380" t="s">
        <v>27</v>
      </c>
      <c r="D41" s="392"/>
      <c r="E41" s="388"/>
      <c r="F41" s="388"/>
      <c r="G41" s="388"/>
      <c r="H41" s="388"/>
      <c r="I41" s="388"/>
      <c r="J41" s="388"/>
      <c r="K41" s="388"/>
      <c r="L41" s="388"/>
      <c r="M41" s="388"/>
      <c r="N41" s="388"/>
      <c r="O41" s="388"/>
      <c r="P41" s="320">
        <f t="shared" si="0"/>
        <v>0</v>
      </c>
    </row>
    <row r="42" spans="2:16" s="277" customFormat="1">
      <c r="B42" s="384">
        <f>J14</f>
        <v>2030</v>
      </c>
      <c r="C42" s="321" t="s">
        <v>43</v>
      </c>
      <c r="D42" s="393"/>
      <c r="E42" s="389"/>
      <c r="F42" s="389"/>
      <c r="G42" s="389"/>
      <c r="H42" s="389"/>
      <c r="I42" s="389"/>
      <c r="J42" s="389"/>
      <c r="K42" s="389"/>
      <c r="L42" s="389"/>
      <c r="M42" s="389"/>
      <c r="N42" s="389"/>
      <c r="O42" s="394"/>
      <c r="P42" s="279">
        <f t="shared" si="0"/>
        <v>0</v>
      </c>
    </row>
    <row r="43" spans="2:16" s="277" customFormat="1">
      <c r="B43" s="384"/>
      <c r="C43" s="463" t="s">
        <v>44</v>
      </c>
      <c r="D43" s="391"/>
      <c r="E43" s="387"/>
      <c r="F43" s="387"/>
      <c r="G43" s="387"/>
      <c r="H43" s="387"/>
      <c r="I43" s="387"/>
      <c r="J43" s="387"/>
      <c r="K43" s="387"/>
      <c r="L43" s="387"/>
      <c r="M43" s="387"/>
      <c r="N43" s="387"/>
      <c r="O43" s="470"/>
      <c r="P43" s="279">
        <f>SUM(D43:O43)</f>
        <v>0</v>
      </c>
    </row>
    <row r="44" spans="2:16" s="277" customFormat="1" ht="15.75" thickBot="1">
      <c r="B44" s="282"/>
      <c r="C44" s="280" t="s">
        <v>27</v>
      </c>
      <c r="D44" s="395"/>
      <c r="E44" s="390"/>
      <c r="F44" s="390"/>
      <c r="G44" s="390"/>
      <c r="H44" s="390"/>
      <c r="I44" s="390"/>
      <c r="J44" s="390"/>
      <c r="K44" s="390"/>
      <c r="L44" s="390"/>
      <c r="M44" s="390"/>
      <c r="N44" s="390"/>
      <c r="O44" s="415"/>
      <c r="P44" s="320">
        <f t="shared" si="0"/>
        <v>0</v>
      </c>
    </row>
  </sheetData>
  <mergeCells count="10">
    <mergeCell ref="B3:P3"/>
    <mergeCell ref="B4:P4"/>
    <mergeCell ref="C14:C15"/>
    <mergeCell ref="D14:D15"/>
    <mergeCell ref="J14:J15"/>
    <mergeCell ref="E14:E15"/>
    <mergeCell ref="F14:F15"/>
    <mergeCell ref="G14:G15"/>
    <mergeCell ref="H14:H15"/>
    <mergeCell ref="I14:I15"/>
  </mergeCells>
  <pageMargins left="0.70866141732283472" right="0.70866141732283472" top="0.74803149606299213" bottom="0.74803149606299213" header="0.31496062992125984" footer="0.31496062992125984"/>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B1:S29"/>
  <sheetViews>
    <sheetView showGridLines="0" zoomScale="90" zoomScaleNormal="90" workbookViewId="0">
      <pane xSplit="1" ySplit="2" topLeftCell="B3" activePane="bottomRight" state="frozen"/>
      <selection pane="bottomRight" activeCell="E34" sqref="E34"/>
      <selection pane="bottomLeft" activeCell="N14" sqref="N14"/>
      <selection pane="topRight" activeCell="N14" sqref="N14"/>
    </sheetView>
  </sheetViews>
  <sheetFormatPr defaultColWidth="9.42578125" defaultRowHeight="15"/>
  <cols>
    <col min="1" max="1" width="2.5703125" style="101" customWidth="1"/>
    <col min="2" max="2" width="7.5703125" style="101" customWidth="1"/>
    <col min="3" max="3" width="40.42578125" style="102" customWidth="1"/>
    <col min="4" max="15" width="10.5703125" style="102" customWidth="1"/>
    <col min="16" max="16" width="15.5703125" style="268" customWidth="1"/>
    <col min="17" max="17" width="15.5703125" style="1" customWidth="1"/>
    <col min="18" max="18" width="9.42578125" style="101"/>
    <col min="19" max="19" width="10.42578125" style="101" bestFit="1" customWidth="1"/>
    <col min="20" max="16384" width="9.42578125" style="101"/>
  </cols>
  <sheetData>
    <row r="1" spans="2:19">
      <c r="D1" s="101"/>
      <c r="E1" s="101"/>
    </row>
    <row r="2" spans="2:19" ht="18.75">
      <c r="B2" s="94" t="s">
        <v>45</v>
      </c>
      <c r="D2" s="101"/>
      <c r="E2" s="101"/>
    </row>
    <row r="3" spans="2:19">
      <c r="B3" s="448" t="s">
        <v>46</v>
      </c>
      <c r="C3" s="449"/>
      <c r="D3" s="448"/>
      <c r="E3" s="448"/>
      <c r="F3" s="449"/>
      <c r="G3" s="449"/>
      <c r="H3" s="449"/>
      <c r="I3" s="449"/>
      <c r="J3" s="449"/>
      <c r="K3" s="449"/>
      <c r="L3" s="449"/>
      <c r="M3" s="449"/>
      <c r="N3" s="449"/>
      <c r="O3" s="449"/>
      <c r="P3" s="450"/>
      <c r="Q3" s="6"/>
    </row>
    <row r="4" spans="2:19">
      <c r="B4" s="642" t="s">
        <v>47</v>
      </c>
      <c r="C4" s="642"/>
      <c r="D4" s="642"/>
      <c r="E4" s="642"/>
      <c r="F4" s="642"/>
      <c r="G4" s="642"/>
      <c r="H4" s="642"/>
      <c r="I4" s="642"/>
      <c r="J4" s="642"/>
      <c r="K4" s="642"/>
      <c r="L4" s="642"/>
      <c r="M4" s="642"/>
      <c r="N4" s="642"/>
      <c r="O4" s="642"/>
      <c r="P4" s="642"/>
      <c r="Q4" s="642"/>
    </row>
    <row r="5" spans="2:19">
      <c r="B5" s="642" t="s">
        <v>48</v>
      </c>
      <c r="C5" s="642"/>
      <c r="D5" s="642"/>
      <c r="E5" s="642"/>
      <c r="F5" s="642"/>
      <c r="G5" s="642"/>
      <c r="H5" s="642"/>
      <c r="I5" s="642"/>
      <c r="J5" s="642"/>
      <c r="K5" s="642"/>
      <c r="L5" s="642"/>
      <c r="M5" s="642"/>
      <c r="N5" s="642"/>
      <c r="O5" s="642"/>
      <c r="P5" s="642"/>
      <c r="Q5" s="642"/>
    </row>
    <row r="6" spans="2:19" ht="30" customHeight="1">
      <c r="B6" s="642" t="s">
        <v>49</v>
      </c>
      <c r="C6" s="642"/>
      <c r="D6" s="642"/>
      <c r="E6" s="642"/>
      <c r="F6" s="642"/>
      <c r="G6" s="642"/>
      <c r="H6" s="642"/>
      <c r="I6" s="642"/>
      <c r="J6" s="642"/>
      <c r="K6" s="642"/>
      <c r="L6" s="642"/>
      <c r="M6" s="642"/>
      <c r="N6" s="642"/>
      <c r="O6" s="642"/>
      <c r="P6" s="642"/>
      <c r="Q6" s="642"/>
    </row>
    <row r="7" spans="2:19">
      <c r="B7" s="642" t="s">
        <v>50</v>
      </c>
      <c r="C7" s="642"/>
      <c r="D7" s="642"/>
      <c r="E7" s="642"/>
      <c r="F7" s="642"/>
      <c r="G7" s="642"/>
      <c r="H7" s="642"/>
      <c r="I7" s="642"/>
      <c r="J7" s="642"/>
      <c r="K7" s="642"/>
      <c r="L7" s="642"/>
      <c r="M7" s="642"/>
      <c r="N7" s="642"/>
      <c r="O7" s="642"/>
      <c r="P7" s="642"/>
      <c r="Q7" s="642"/>
    </row>
    <row r="8" spans="2:19">
      <c r="B8" s="233"/>
      <c r="C8" s="233"/>
      <c r="D8" s="233"/>
      <c r="E8" s="233"/>
      <c r="F8" s="233"/>
      <c r="G8" s="233"/>
      <c r="H8" s="233"/>
      <c r="I8" s="233"/>
      <c r="J8" s="233"/>
      <c r="K8" s="233"/>
      <c r="L8" s="233"/>
      <c r="M8" s="233"/>
      <c r="N8" s="233"/>
      <c r="O8" s="233"/>
      <c r="P8" s="233"/>
      <c r="Q8" s="233"/>
    </row>
    <row r="9" spans="2:19" ht="15.75">
      <c r="B9" s="250"/>
      <c r="C9" s="269"/>
      <c r="D9" s="250"/>
      <c r="E9" s="250"/>
      <c r="F9" s="250"/>
      <c r="G9" s="250"/>
      <c r="H9" s="250"/>
    </row>
    <row r="10" spans="2:19">
      <c r="B10" s="643" t="s">
        <v>15</v>
      </c>
      <c r="C10" s="643"/>
      <c r="D10" s="101"/>
      <c r="E10" s="101"/>
      <c r="O10" s="104"/>
      <c r="P10" s="102"/>
    </row>
    <row r="11" spans="2:19" ht="14.85" customHeight="1">
      <c r="C11" s="292" t="s">
        <v>16</v>
      </c>
      <c r="D11" s="101"/>
      <c r="E11" s="101"/>
      <c r="O11" s="104"/>
      <c r="P11" s="105"/>
    </row>
    <row r="12" spans="2:19" ht="14.85" customHeight="1">
      <c r="C12" s="322" t="s">
        <v>17</v>
      </c>
      <c r="D12" s="101"/>
      <c r="E12" s="1"/>
      <c r="O12" s="104"/>
      <c r="P12" s="105"/>
      <c r="R12" s="1"/>
    </row>
    <row r="13" spans="2:19" ht="14.85" customHeight="1">
      <c r="C13" s="613" t="s">
        <v>51</v>
      </c>
      <c r="D13" s="64"/>
      <c r="E13" s="101"/>
      <c r="O13" s="104"/>
      <c r="P13" s="105"/>
    </row>
    <row r="14" spans="2:19" ht="15.75" thickBot="1">
      <c r="E14" s="22"/>
    </row>
    <row r="15" spans="2:19" s="22" customFormat="1" ht="30.6" customHeight="1" thickBot="1">
      <c r="B15" s="165" t="s">
        <v>28</v>
      </c>
      <c r="C15" s="165" t="s">
        <v>52</v>
      </c>
      <c r="D15" s="270" t="s">
        <v>30</v>
      </c>
      <c r="E15" s="271" t="s">
        <v>31</v>
      </c>
      <c r="F15" s="271" t="s">
        <v>32</v>
      </c>
      <c r="G15" s="271" t="s">
        <v>33</v>
      </c>
      <c r="H15" s="271" t="s">
        <v>34</v>
      </c>
      <c r="I15" s="271" t="s">
        <v>35</v>
      </c>
      <c r="J15" s="271" t="s">
        <v>36</v>
      </c>
      <c r="K15" s="271" t="s">
        <v>37</v>
      </c>
      <c r="L15" s="271" t="s">
        <v>38</v>
      </c>
      <c r="M15" s="271" t="s">
        <v>39</v>
      </c>
      <c r="N15" s="271" t="s">
        <v>40</v>
      </c>
      <c r="O15" s="272" t="s">
        <v>41</v>
      </c>
      <c r="P15" s="165" t="s">
        <v>42</v>
      </c>
      <c r="Q15" s="273" t="s">
        <v>53</v>
      </c>
      <c r="S15" s="94"/>
    </row>
    <row r="16" spans="2:19">
      <c r="B16" s="242">
        <f>ÜLDANDMED!D14</f>
        <v>2024</v>
      </c>
      <c r="C16" s="256" t="s">
        <v>54</v>
      </c>
      <c r="D16" s="294"/>
      <c r="E16" s="294"/>
      <c r="F16" s="294"/>
      <c r="G16" s="294"/>
      <c r="H16" s="294"/>
      <c r="I16" s="294"/>
      <c r="J16" s="294"/>
      <c r="K16" s="294"/>
      <c r="L16" s="294"/>
      <c r="M16" s="294"/>
      <c r="N16" s="294"/>
      <c r="O16" s="294"/>
      <c r="P16" s="323">
        <f>SUM(D16:O16)</f>
        <v>0</v>
      </c>
      <c r="Q16" s="293"/>
    </row>
    <row r="17" spans="2:17" ht="15.75" thickBot="1">
      <c r="B17" s="247"/>
      <c r="C17" s="111" t="s">
        <v>55</v>
      </c>
      <c r="D17" s="328" t="e">
        <f>D16/ÜLDANDMED!D26</f>
        <v>#DIV/0!</v>
      </c>
      <c r="E17" s="328" t="e">
        <f>E16/ÜLDANDMED!E26</f>
        <v>#DIV/0!</v>
      </c>
      <c r="F17" s="328" t="e">
        <f>F16/ÜLDANDMED!F26</f>
        <v>#DIV/0!</v>
      </c>
      <c r="G17" s="328" t="e">
        <f>G16/ÜLDANDMED!G26</f>
        <v>#DIV/0!</v>
      </c>
      <c r="H17" s="328" t="e">
        <f>H16/ÜLDANDMED!H26</f>
        <v>#DIV/0!</v>
      </c>
      <c r="I17" s="328" t="e">
        <f>I16/ÜLDANDMED!I26</f>
        <v>#DIV/0!</v>
      </c>
      <c r="J17" s="328" t="e">
        <f>J16/ÜLDANDMED!J26</f>
        <v>#DIV/0!</v>
      </c>
      <c r="K17" s="328" t="e">
        <f>K16/ÜLDANDMED!K26</f>
        <v>#DIV/0!</v>
      </c>
      <c r="L17" s="328" t="e">
        <f>L16/ÜLDANDMED!L26</f>
        <v>#DIV/0!</v>
      </c>
      <c r="M17" s="328" t="e">
        <f>M16/ÜLDANDMED!M26</f>
        <v>#DIV/0!</v>
      </c>
      <c r="N17" s="328" t="e">
        <f>N16/ÜLDANDMED!N26</f>
        <v>#DIV/0!</v>
      </c>
      <c r="O17" s="328" t="e">
        <f>O16/ÜLDANDMED!O26</f>
        <v>#DIV/0!</v>
      </c>
      <c r="P17" s="324" t="e">
        <f>P16/ööbimised_2024</f>
        <v>#DIV/0!</v>
      </c>
      <c r="Q17" s="623"/>
    </row>
    <row r="18" spans="2:17">
      <c r="B18" s="274">
        <f>ÜLDANDMED!E14</f>
        <v>2025</v>
      </c>
      <c r="C18" s="211" t="s">
        <v>54</v>
      </c>
      <c r="D18" s="407"/>
      <c r="E18" s="575"/>
      <c r="F18" s="575"/>
      <c r="G18" s="575"/>
      <c r="H18" s="294"/>
      <c r="I18" s="294"/>
      <c r="J18" s="294"/>
      <c r="K18" s="294"/>
      <c r="L18" s="294"/>
      <c r="M18" s="294"/>
      <c r="N18" s="294"/>
      <c r="O18" s="408"/>
      <c r="P18" s="325">
        <f t="shared" ref="P18" si="0">SUM(D18:O18)</f>
        <v>0</v>
      </c>
      <c r="Q18" s="295"/>
    </row>
    <row r="19" spans="2:17" ht="15.75" thickBot="1">
      <c r="B19" s="245"/>
      <c r="C19" s="111" t="s">
        <v>55</v>
      </c>
      <c r="D19" s="326" t="e">
        <f>D18/ÜLDANDMED!D29</f>
        <v>#DIV/0!</v>
      </c>
      <c r="E19" s="396" t="e">
        <f>E18/ÜLDANDMED!E29</f>
        <v>#DIV/0!</v>
      </c>
      <c r="F19" s="396" t="e">
        <f>F18/ÜLDANDMED!F29</f>
        <v>#DIV/0!</v>
      </c>
      <c r="G19" s="396" t="e">
        <f>G18/ÜLDANDMED!G29</f>
        <v>#DIV/0!</v>
      </c>
      <c r="H19" s="396" t="e">
        <f>H18/ÜLDANDMED!H29</f>
        <v>#DIV/0!</v>
      </c>
      <c r="I19" s="396" t="e">
        <f>I18/ÜLDANDMED!I29</f>
        <v>#DIV/0!</v>
      </c>
      <c r="J19" s="396" t="e">
        <f>J18/ÜLDANDMED!J29</f>
        <v>#DIV/0!</v>
      </c>
      <c r="K19" s="396" t="e">
        <f>K18/ÜLDANDMED!K29</f>
        <v>#DIV/0!</v>
      </c>
      <c r="L19" s="396" t="e">
        <f>L18/ÜLDANDMED!L29</f>
        <v>#DIV/0!</v>
      </c>
      <c r="M19" s="396" t="e">
        <f>M18/ÜLDANDMED!M29</f>
        <v>#DIV/0!</v>
      </c>
      <c r="N19" s="396" t="e">
        <f>N18/ÜLDANDMED!N29</f>
        <v>#DIV/0!</v>
      </c>
      <c r="O19" s="397" t="e">
        <f>O18/ÜLDANDMED!O29</f>
        <v>#DIV/0!</v>
      </c>
      <c r="P19" s="327" t="e">
        <f>P18/ööbimised_2025</f>
        <v>#DIV/0!</v>
      </c>
      <c r="Q19" s="624"/>
    </row>
    <row r="20" spans="2:17">
      <c r="B20" s="274">
        <f>ÜLDANDMED!F14</f>
        <v>2026</v>
      </c>
      <c r="C20" s="256" t="s">
        <v>54</v>
      </c>
      <c r="D20" s="296"/>
      <c r="E20" s="296"/>
      <c r="F20" s="296"/>
      <c r="G20" s="296"/>
      <c r="H20" s="296"/>
      <c r="I20" s="296"/>
      <c r="J20" s="296"/>
      <c r="K20" s="296"/>
      <c r="L20" s="296"/>
      <c r="M20" s="296"/>
      <c r="N20" s="296"/>
      <c r="O20" s="296"/>
      <c r="P20" s="323">
        <f t="shared" ref="P20:P26" si="1">SUM(D20:O20)</f>
        <v>0</v>
      </c>
      <c r="Q20" s="293"/>
    </row>
    <row r="21" spans="2:17" ht="15.75" thickBot="1">
      <c r="B21" s="245"/>
      <c r="C21" s="111" t="s">
        <v>55</v>
      </c>
      <c r="D21" s="328" t="e">
        <f>D20/ÜLDANDMED!D32</f>
        <v>#DIV/0!</v>
      </c>
      <c r="E21" s="328" t="e">
        <f>E20/ÜLDANDMED!E32</f>
        <v>#DIV/0!</v>
      </c>
      <c r="F21" s="328" t="e">
        <f>F20/ÜLDANDMED!F32</f>
        <v>#DIV/0!</v>
      </c>
      <c r="G21" s="328" t="e">
        <f>G20/ÜLDANDMED!G32</f>
        <v>#DIV/0!</v>
      </c>
      <c r="H21" s="328" t="e">
        <f>H20/ÜLDANDMED!H32</f>
        <v>#DIV/0!</v>
      </c>
      <c r="I21" s="328" t="e">
        <f>I20/ÜLDANDMED!I32</f>
        <v>#DIV/0!</v>
      </c>
      <c r="J21" s="328" t="e">
        <f>J20/ÜLDANDMED!J32</f>
        <v>#DIV/0!</v>
      </c>
      <c r="K21" s="328" t="e">
        <f>K20/ÜLDANDMED!K32</f>
        <v>#DIV/0!</v>
      </c>
      <c r="L21" s="328" t="e">
        <f>L20/ÜLDANDMED!L32</f>
        <v>#DIV/0!</v>
      </c>
      <c r="M21" s="328" t="e">
        <f>M20/ÜLDANDMED!M32</f>
        <v>#DIV/0!</v>
      </c>
      <c r="N21" s="328" t="e">
        <f>N20/ÜLDANDMED!N32</f>
        <v>#DIV/0!</v>
      </c>
      <c r="O21" s="328" t="e">
        <f>O20/ÜLDANDMED!O32</f>
        <v>#DIV/0!</v>
      </c>
      <c r="P21" s="324" t="e">
        <f>P20/ööbimised_2026</f>
        <v>#DIV/0!</v>
      </c>
      <c r="Q21" s="624"/>
    </row>
    <row r="22" spans="2:17">
      <c r="B22" s="274">
        <f>ÜLDANDMED!G14</f>
        <v>2027</v>
      </c>
      <c r="C22" s="211" t="s">
        <v>54</v>
      </c>
      <c r="D22" s="407"/>
      <c r="E22" s="294"/>
      <c r="F22" s="294"/>
      <c r="G22" s="294"/>
      <c r="H22" s="294"/>
      <c r="I22" s="294"/>
      <c r="J22" s="294"/>
      <c r="K22" s="294"/>
      <c r="L22" s="294"/>
      <c r="M22" s="294"/>
      <c r="N22" s="294"/>
      <c r="O22" s="408"/>
      <c r="P22" s="325">
        <f t="shared" si="1"/>
        <v>0</v>
      </c>
      <c r="Q22" s="295"/>
    </row>
    <row r="23" spans="2:17" ht="15.75" thickBot="1">
      <c r="B23" s="245"/>
      <c r="C23" s="111" t="s">
        <v>55</v>
      </c>
      <c r="D23" s="326" t="e">
        <f>D22/ÜLDANDMED!D35</f>
        <v>#DIV/0!</v>
      </c>
      <c r="E23" s="396" t="e">
        <f>E22/ÜLDANDMED!E35</f>
        <v>#DIV/0!</v>
      </c>
      <c r="F23" s="396" t="e">
        <f>F22/ÜLDANDMED!F35</f>
        <v>#DIV/0!</v>
      </c>
      <c r="G23" s="396" t="e">
        <f>G22/ÜLDANDMED!G35</f>
        <v>#DIV/0!</v>
      </c>
      <c r="H23" s="396" t="e">
        <f>H22/ÜLDANDMED!H35</f>
        <v>#DIV/0!</v>
      </c>
      <c r="I23" s="396" t="e">
        <f>I22/ÜLDANDMED!I35</f>
        <v>#DIV/0!</v>
      </c>
      <c r="J23" s="396" t="e">
        <f>J22/ÜLDANDMED!J35</f>
        <v>#DIV/0!</v>
      </c>
      <c r="K23" s="396" t="e">
        <f>K22/ÜLDANDMED!K35</f>
        <v>#DIV/0!</v>
      </c>
      <c r="L23" s="396" t="e">
        <f>L22/ÜLDANDMED!L35</f>
        <v>#DIV/0!</v>
      </c>
      <c r="M23" s="396" t="e">
        <f>M22/ÜLDANDMED!M35</f>
        <v>#DIV/0!</v>
      </c>
      <c r="N23" s="396" t="e">
        <f>N22/ÜLDANDMED!N35</f>
        <v>#DIV/0!</v>
      </c>
      <c r="O23" s="397" t="e">
        <f>O22/ÜLDANDMED!O35</f>
        <v>#DIV/0!</v>
      </c>
      <c r="P23" s="324" t="e">
        <f>P22/ööbimised_2027</f>
        <v>#DIV/0!</v>
      </c>
      <c r="Q23" s="624"/>
    </row>
    <row r="24" spans="2:17">
      <c r="B24" s="274">
        <f>ÜLDANDMED!H14</f>
        <v>2028</v>
      </c>
      <c r="C24" s="256" t="s">
        <v>54</v>
      </c>
      <c r="D24" s="296"/>
      <c r="E24" s="296"/>
      <c r="F24" s="296"/>
      <c r="G24" s="296"/>
      <c r="H24" s="296"/>
      <c r="I24" s="296"/>
      <c r="J24" s="296"/>
      <c r="K24" s="296"/>
      <c r="L24" s="296"/>
      <c r="M24" s="296"/>
      <c r="N24" s="296"/>
      <c r="O24" s="296"/>
      <c r="P24" s="325">
        <f t="shared" si="1"/>
        <v>0</v>
      </c>
      <c r="Q24" s="293"/>
    </row>
    <row r="25" spans="2:17" ht="15.75" thickBot="1">
      <c r="B25" s="245"/>
      <c r="C25" s="111" t="s">
        <v>55</v>
      </c>
      <c r="D25" s="328" t="e">
        <f>D24/ÜLDANDMED!D38</f>
        <v>#DIV/0!</v>
      </c>
      <c r="E25" s="328" t="e">
        <f>E24/ÜLDANDMED!E38</f>
        <v>#DIV/0!</v>
      </c>
      <c r="F25" s="328" t="e">
        <f>F24/ÜLDANDMED!F38</f>
        <v>#DIV/0!</v>
      </c>
      <c r="G25" s="328" t="e">
        <f>G24/ÜLDANDMED!G38</f>
        <v>#DIV/0!</v>
      </c>
      <c r="H25" s="328" t="e">
        <f>H24/ÜLDANDMED!H38</f>
        <v>#DIV/0!</v>
      </c>
      <c r="I25" s="328" t="e">
        <f>I24/ÜLDANDMED!I38</f>
        <v>#DIV/0!</v>
      </c>
      <c r="J25" s="328" t="e">
        <f>J24/ÜLDANDMED!J38</f>
        <v>#DIV/0!</v>
      </c>
      <c r="K25" s="328" t="e">
        <f>K24/ÜLDANDMED!K38</f>
        <v>#DIV/0!</v>
      </c>
      <c r="L25" s="328" t="e">
        <f>L24/ÜLDANDMED!L38</f>
        <v>#DIV/0!</v>
      </c>
      <c r="M25" s="328" t="e">
        <f>M24/ÜLDANDMED!M38</f>
        <v>#DIV/0!</v>
      </c>
      <c r="N25" s="328" t="e">
        <f>N24/ÜLDANDMED!N38</f>
        <v>#DIV/0!</v>
      </c>
      <c r="O25" s="328" t="e">
        <f>O24/ÜLDANDMED!O38</f>
        <v>#DIV/0!</v>
      </c>
      <c r="P25" s="324" t="e">
        <f>P24/ööbimised_2028</f>
        <v>#DIV/0!</v>
      </c>
      <c r="Q25" s="624"/>
    </row>
    <row r="26" spans="2:17">
      <c r="B26" s="274">
        <f>ÜLDANDMED!I14</f>
        <v>2029</v>
      </c>
      <c r="C26" s="211" t="s">
        <v>54</v>
      </c>
      <c r="D26" s="407"/>
      <c r="E26" s="294"/>
      <c r="F26" s="294"/>
      <c r="G26" s="294"/>
      <c r="H26" s="294"/>
      <c r="I26" s="294"/>
      <c r="J26" s="294"/>
      <c r="K26" s="294"/>
      <c r="L26" s="294"/>
      <c r="M26" s="294"/>
      <c r="N26" s="294"/>
      <c r="O26" s="408"/>
      <c r="P26" s="325">
        <f t="shared" si="1"/>
        <v>0</v>
      </c>
      <c r="Q26" s="295"/>
    </row>
    <row r="27" spans="2:17" ht="15.75" thickBot="1">
      <c r="B27" s="245"/>
      <c r="C27" s="111" t="s">
        <v>55</v>
      </c>
      <c r="D27" s="326" t="e">
        <f>D26/ÜLDANDMED!D41</f>
        <v>#DIV/0!</v>
      </c>
      <c r="E27" s="396" t="e">
        <f>E26/ÜLDANDMED!E41</f>
        <v>#DIV/0!</v>
      </c>
      <c r="F27" s="396" t="e">
        <f>F26/ÜLDANDMED!F41</f>
        <v>#DIV/0!</v>
      </c>
      <c r="G27" s="396" t="e">
        <f>G26/ÜLDANDMED!G41</f>
        <v>#DIV/0!</v>
      </c>
      <c r="H27" s="396" t="e">
        <f>H26/ÜLDANDMED!H41</f>
        <v>#DIV/0!</v>
      </c>
      <c r="I27" s="396" t="e">
        <f>I26/ÜLDANDMED!I41</f>
        <v>#DIV/0!</v>
      </c>
      <c r="J27" s="396" t="e">
        <f>J26/ÜLDANDMED!J41</f>
        <v>#DIV/0!</v>
      </c>
      <c r="K27" s="396" t="e">
        <f>K26/ÜLDANDMED!K41</f>
        <v>#DIV/0!</v>
      </c>
      <c r="L27" s="396" t="e">
        <f>L26/ÜLDANDMED!L41</f>
        <v>#DIV/0!</v>
      </c>
      <c r="M27" s="396" t="e">
        <f>M26/ÜLDANDMED!M41</f>
        <v>#DIV/0!</v>
      </c>
      <c r="N27" s="396" t="e">
        <f>N26/ÜLDANDMED!N41</f>
        <v>#DIV/0!</v>
      </c>
      <c r="O27" s="397" t="e">
        <f>O26/ÜLDANDMED!O41</f>
        <v>#DIV/0!</v>
      </c>
      <c r="P27" s="329" t="e">
        <f>P26/ööbimised_2029</f>
        <v>#DIV/0!</v>
      </c>
      <c r="Q27" s="624"/>
    </row>
    <row r="28" spans="2:17">
      <c r="B28" s="274">
        <f>ÜLDANDMED!J14</f>
        <v>2030</v>
      </c>
      <c r="C28" s="256" t="s">
        <v>54</v>
      </c>
      <c r="D28" s="296"/>
      <c r="E28" s="296"/>
      <c r="F28" s="296"/>
      <c r="G28" s="296"/>
      <c r="H28" s="296"/>
      <c r="I28" s="296"/>
      <c r="J28" s="296"/>
      <c r="K28" s="296"/>
      <c r="L28" s="296"/>
      <c r="M28" s="296"/>
      <c r="N28" s="296"/>
      <c r="O28" s="296"/>
      <c r="P28" s="325">
        <f t="shared" ref="P28" si="2">SUM(D28:O28)</f>
        <v>0</v>
      </c>
      <c r="Q28" s="293"/>
    </row>
    <row r="29" spans="2:17" ht="15.75" thickBot="1">
      <c r="B29" s="257"/>
      <c r="C29" s="111" t="s">
        <v>55</v>
      </c>
      <c r="D29" s="330" t="e">
        <f>D28/ÜLDANDMED!D44</f>
        <v>#DIV/0!</v>
      </c>
      <c r="E29" s="330" t="e">
        <f>E28/ÜLDANDMED!E44</f>
        <v>#DIV/0!</v>
      </c>
      <c r="F29" s="330" t="e">
        <f>F28/ÜLDANDMED!F44</f>
        <v>#DIV/0!</v>
      </c>
      <c r="G29" s="330" t="e">
        <f>G28/ÜLDANDMED!G44</f>
        <v>#DIV/0!</v>
      </c>
      <c r="H29" s="330" t="e">
        <f>H28/ÜLDANDMED!H44</f>
        <v>#DIV/0!</v>
      </c>
      <c r="I29" s="330" t="e">
        <f>I28/ÜLDANDMED!I44</f>
        <v>#DIV/0!</v>
      </c>
      <c r="J29" s="330" t="e">
        <f>J28/ÜLDANDMED!J44</f>
        <v>#DIV/0!</v>
      </c>
      <c r="K29" s="330" t="e">
        <f>K28/ÜLDANDMED!K44</f>
        <v>#DIV/0!</v>
      </c>
      <c r="L29" s="330" t="e">
        <f>L28/ÜLDANDMED!L44</f>
        <v>#DIV/0!</v>
      </c>
      <c r="M29" s="330" t="e">
        <f>M28/ÜLDANDMED!M44</f>
        <v>#DIV/0!</v>
      </c>
      <c r="N29" s="330" t="e">
        <f>N28/ÜLDANDMED!N44</f>
        <v>#DIV/0!</v>
      </c>
      <c r="O29" s="330" t="e">
        <f>O28/ÜLDANDMED!O44</f>
        <v>#DIV/0!</v>
      </c>
      <c r="P29" s="327" t="e">
        <f>P28/ööbimised_2030</f>
        <v>#DIV/0!</v>
      </c>
      <c r="Q29" s="624"/>
    </row>
  </sheetData>
  <mergeCells count="5">
    <mergeCell ref="B5:Q5"/>
    <mergeCell ref="B10:C10"/>
    <mergeCell ref="B6:Q6"/>
    <mergeCell ref="B4:Q4"/>
    <mergeCell ref="B7:Q7"/>
  </mergeCells>
  <pageMargins left="0.70866141732283472" right="0.70866141732283472" top="0.74803149606299213" bottom="0.74803149606299213" header="0.31496062992125984" footer="0.31496062992125984"/>
  <pageSetup paperSize="9" scale="39" fitToHeight="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1E000"/>
    <pageSetUpPr fitToPage="1"/>
  </sheetPr>
  <dimension ref="A2:U63"/>
  <sheetViews>
    <sheetView showGridLines="0" zoomScale="90" zoomScaleNormal="90" workbookViewId="0">
      <pane xSplit="1" ySplit="2" topLeftCell="B10" activePane="bottomRight" state="frozen"/>
      <selection pane="bottomRight" activeCell="C13" sqref="C13"/>
      <selection pane="bottomLeft" activeCell="N14" sqref="N14"/>
      <selection pane="topRight" activeCell="N14" sqref="N14"/>
    </sheetView>
  </sheetViews>
  <sheetFormatPr defaultColWidth="9.140625" defaultRowHeight="15"/>
  <cols>
    <col min="1" max="1" width="2.5703125" style="1" customWidth="1"/>
    <col min="2" max="2" width="7.5703125" style="1" customWidth="1"/>
    <col min="3" max="3" width="45.5703125" style="4" bestFit="1" customWidth="1"/>
    <col min="4" max="15" width="10.5703125" style="4" customWidth="1"/>
    <col min="16" max="16" width="15.5703125" style="155" customWidth="1"/>
    <col min="17" max="18" width="15.5703125" style="4" customWidth="1"/>
    <col min="19" max="19" width="15.5703125" style="63" customWidth="1"/>
    <col min="20" max="16384" width="9.140625" style="1"/>
  </cols>
  <sheetData>
    <row r="2" spans="1:21" ht="18.75">
      <c r="B2" s="94" t="s">
        <v>56</v>
      </c>
    </row>
    <row r="3" spans="1:21" s="6" customFormat="1" ht="33.75" customHeight="1">
      <c r="A3" s="451"/>
      <c r="B3" s="647" t="s">
        <v>57</v>
      </c>
      <c r="C3" s="642"/>
      <c r="D3" s="642"/>
      <c r="E3" s="642"/>
      <c r="F3" s="642"/>
      <c r="G3" s="642"/>
      <c r="H3" s="642"/>
      <c r="I3" s="642"/>
      <c r="J3" s="642"/>
      <c r="K3" s="642"/>
      <c r="L3" s="642"/>
      <c r="M3" s="642"/>
      <c r="N3" s="642"/>
      <c r="O3" s="642"/>
      <c r="P3" s="642"/>
      <c r="Q3" s="642"/>
      <c r="R3" s="642"/>
      <c r="S3" s="642"/>
    </row>
    <row r="4" spans="1:21" s="6" customFormat="1" ht="29.25" customHeight="1">
      <c r="A4" s="451"/>
      <c r="B4" s="648" t="s">
        <v>58</v>
      </c>
      <c r="C4" s="648"/>
      <c r="D4" s="648"/>
      <c r="E4" s="648"/>
      <c r="F4" s="648"/>
      <c r="G4" s="648"/>
      <c r="H4" s="648"/>
      <c r="I4" s="648"/>
      <c r="J4" s="648"/>
      <c r="K4" s="648"/>
      <c r="L4" s="648"/>
      <c r="M4" s="648"/>
      <c r="N4" s="648"/>
      <c r="O4" s="648"/>
      <c r="P4" s="648"/>
      <c r="Q4" s="648"/>
      <c r="R4" s="648"/>
      <c r="S4" s="648"/>
    </row>
    <row r="5" spans="1:21" s="6" customFormat="1" ht="32.25" customHeight="1">
      <c r="A5" s="451"/>
      <c r="B5" s="648" t="s">
        <v>59</v>
      </c>
      <c r="C5" s="648"/>
      <c r="D5" s="648"/>
      <c r="E5" s="648"/>
      <c r="F5" s="648"/>
      <c r="G5" s="648"/>
      <c r="H5" s="648"/>
      <c r="I5" s="648"/>
      <c r="J5" s="648"/>
      <c r="K5" s="648"/>
      <c r="L5" s="648"/>
      <c r="M5" s="648"/>
      <c r="N5" s="648"/>
      <c r="O5" s="648"/>
      <c r="P5" s="648"/>
      <c r="Q5" s="648"/>
      <c r="R5" s="648"/>
      <c r="S5" s="648"/>
    </row>
    <row r="6" spans="1:21" s="6" customFormat="1">
      <c r="A6" s="451"/>
      <c r="B6" s="642" t="s">
        <v>60</v>
      </c>
      <c r="C6" s="642"/>
      <c r="D6" s="642"/>
      <c r="E6" s="642"/>
      <c r="F6" s="642"/>
      <c r="G6" s="642"/>
      <c r="H6" s="642"/>
      <c r="I6" s="642"/>
      <c r="J6" s="642"/>
      <c r="K6" s="642"/>
      <c r="L6" s="642"/>
      <c r="M6" s="642"/>
      <c r="N6" s="642"/>
      <c r="O6" s="642"/>
      <c r="P6" s="642"/>
      <c r="Q6" s="452"/>
      <c r="R6" s="452"/>
      <c r="S6" s="454"/>
    </row>
    <row r="7" spans="1:21">
      <c r="A7" s="153"/>
      <c r="B7" s="446"/>
      <c r="C7" s="447"/>
      <c r="D7" s="447"/>
      <c r="E7" s="447"/>
      <c r="F7" s="447"/>
      <c r="G7" s="447"/>
      <c r="H7" s="447"/>
      <c r="I7" s="447"/>
      <c r="J7" s="447"/>
      <c r="K7" s="447"/>
      <c r="L7" s="447"/>
      <c r="M7" s="447"/>
      <c r="N7" s="447"/>
      <c r="O7" s="447"/>
      <c r="P7" s="455"/>
      <c r="Q7" s="446"/>
      <c r="R7" s="446"/>
      <c r="S7" s="446"/>
    </row>
    <row r="8" spans="1:21" ht="15.75">
      <c r="A8" s="153"/>
      <c r="B8" s="258"/>
      <c r="C8" s="259"/>
      <c r="D8" s="258"/>
      <c r="E8" s="258"/>
      <c r="F8" s="258"/>
      <c r="G8" s="258"/>
      <c r="H8" s="258"/>
      <c r="I8" s="258"/>
      <c r="Q8" s="259"/>
      <c r="R8" s="259"/>
      <c r="S8" s="260"/>
    </row>
    <row r="9" spans="1:21" ht="15.75">
      <c r="A9" s="153"/>
      <c r="B9" s="643" t="s">
        <v>15</v>
      </c>
      <c r="C9" s="643"/>
      <c r="D9" s="154"/>
      <c r="E9" s="154"/>
      <c r="Q9" s="204"/>
      <c r="R9" s="204"/>
      <c r="S9" s="66"/>
      <c r="U9" s="261"/>
    </row>
    <row r="10" spans="1:21" ht="14.85" customHeight="1">
      <c r="A10" s="153"/>
      <c r="C10" s="297" t="s">
        <v>16</v>
      </c>
      <c r="D10" s="154"/>
      <c r="E10" s="154"/>
      <c r="Q10" s="1"/>
      <c r="R10" s="1"/>
      <c r="S10" s="156"/>
    </row>
    <row r="11" spans="1:21" ht="14.85" customHeight="1">
      <c r="A11" s="153"/>
      <c r="C11" s="398" t="s">
        <v>61</v>
      </c>
      <c r="D11" s="154"/>
      <c r="E11" s="154"/>
      <c r="P11" s="262"/>
      <c r="Q11" s="1"/>
      <c r="R11" s="1"/>
      <c r="S11" s="156"/>
    </row>
    <row r="12" spans="1:21" ht="14.85" customHeight="1">
      <c r="A12" s="153"/>
      <c r="C12" s="331" t="s">
        <v>17</v>
      </c>
      <c r="D12" s="154"/>
      <c r="E12" s="154"/>
      <c r="Q12" s="1"/>
      <c r="R12" s="1"/>
      <c r="S12" s="156"/>
    </row>
    <row r="13" spans="1:21" s="101" customFormat="1" ht="14.85" customHeight="1" thickBot="1">
      <c r="C13" s="613" t="s">
        <v>51</v>
      </c>
      <c r="F13" s="102"/>
      <c r="G13" s="102"/>
      <c r="H13" s="102"/>
      <c r="I13" s="102"/>
      <c r="J13" s="102"/>
      <c r="K13" s="102"/>
      <c r="L13" s="102"/>
      <c r="M13" s="102"/>
      <c r="N13" s="102"/>
      <c r="O13" s="104"/>
      <c r="P13" s="105"/>
      <c r="Q13" s="1"/>
      <c r="R13" s="1"/>
    </row>
    <row r="14" spans="1:21" s="101" customFormat="1" ht="14.85" customHeight="1" thickBot="1">
      <c r="C14" s="1"/>
      <c r="F14" s="102"/>
      <c r="G14" s="102"/>
      <c r="H14" s="102"/>
      <c r="I14" s="102"/>
      <c r="J14" s="102"/>
      <c r="K14" s="102"/>
      <c r="L14" s="102"/>
      <c r="M14" s="102"/>
      <c r="N14" s="102"/>
      <c r="O14" s="104"/>
      <c r="P14" s="105"/>
      <c r="Q14" s="644" t="s">
        <v>62</v>
      </c>
      <c r="R14" s="645"/>
      <c r="S14" s="646"/>
    </row>
    <row r="15" spans="1:21" s="10" customFormat="1" ht="56.1" customHeight="1" thickBot="1">
      <c r="B15" s="106" t="s">
        <v>28</v>
      </c>
      <c r="C15" s="223" t="s">
        <v>52</v>
      </c>
      <c r="D15" s="405" t="s">
        <v>30</v>
      </c>
      <c r="E15" s="208" t="s">
        <v>31</v>
      </c>
      <c r="F15" s="208" t="s">
        <v>32</v>
      </c>
      <c r="G15" s="208" t="s">
        <v>33</v>
      </c>
      <c r="H15" s="208" t="s">
        <v>34</v>
      </c>
      <c r="I15" s="208" t="s">
        <v>35</v>
      </c>
      <c r="J15" s="208" t="s">
        <v>36</v>
      </c>
      <c r="K15" s="208" t="s">
        <v>37</v>
      </c>
      <c r="L15" s="208" t="s">
        <v>38</v>
      </c>
      <c r="M15" s="208" t="s">
        <v>39</v>
      </c>
      <c r="N15" s="208" t="s">
        <v>40</v>
      </c>
      <c r="O15" s="406" t="s">
        <v>41</v>
      </c>
      <c r="P15" s="106" t="s">
        <v>42</v>
      </c>
      <c r="Q15" s="263" t="s">
        <v>63</v>
      </c>
      <c r="R15" s="264" t="s">
        <v>64</v>
      </c>
      <c r="S15" s="265" t="s">
        <v>65</v>
      </c>
    </row>
    <row r="16" spans="1:21">
      <c r="B16" s="72">
        <f>ÜLDANDMED!D14</f>
        <v>2024</v>
      </c>
      <c r="C16" s="256" t="s">
        <v>66</v>
      </c>
      <c r="D16" s="294"/>
      <c r="E16" s="294"/>
      <c r="F16" s="294"/>
      <c r="G16" s="294"/>
      <c r="H16" s="294"/>
      <c r="I16" s="294"/>
      <c r="J16" s="294"/>
      <c r="K16" s="294"/>
      <c r="L16" s="294"/>
      <c r="M16" s="294"/>
      <c r="N16" s="294"/>
      <c r="O16" s="294"/>
      <c r="P16" s="332">
        <f>SUM(D16:O16)</f>
        <v>0</v>
      </c>
      <c r="Q16" s="399"/>
      <c r="R16" s="266" t="str">
        <f>IF(Q16="Tallinn",LOOKUP(Q16,'KHG eriheitetegurid'!$C$17,'KHG eriheitetegurid'!$D$17),IF(Q16="Tartu",LOOKUP(Q16,'KHG eriheitetegurid'!$C$26,'KHG eriheitetegurid'!$D$26),IF(Q16="Pärnu",LOOKUP(Q16,'KHG eriheitetegurid'!$C$35,'KHG eriheitetegurid'!$D$35),IF(OR(Q16="Muu",Q16=""),""))))</f>
        <v/>
      </c>
      <c r="S16" s="400"/>
      <c r="U16" s="64"/>
    </row>
    <row r="17" spans="2:21">
      <c r="B17" s="242"/>
      <c r="C17" s="246" t="s">
        <v>67</v>
      </c>
      <c r="D17" s="577" t="e">
        <f>D16/ÜLDANDMED!D26</f>
        <v>#DIV/0!</v>
      </c>
      <c r="E17" s="577" t="e">
        <f>E16/ÜLDANDMED!E26</f>
        <v>#DIV/0!</v>
      </c>
      <c r="F17" s="577" t="e">
        <f>F16/ÜLDANDMED!F26</f>
        <v>#DIV/0!</v>
      </c>
      <c r="G17" s="577" t="e">
        <f>G16/ÜLDANDMED!G26</f>
        <v>#DIV/0!</v>
      </c>
      <c r="H17" s="577" t="e">
        <f>H16/ÜLDANDMED!H26</f>
        <v>#DIV/0!</v>
      </c>
      <c r="I17" s="577" t="e">
        <f>I16/ÜLDANDMED!I26</f>
        <v>#DIV/0!</v>
      </c>
      <c r="J17" s="577" t="e">
        <f>J16/ÜLDANDMED!J26</f>
        <v>#DIV/0!</v>
      </c>
      <c r="K17" s="577" t="e">
        <f>K16/ÜLDANDMED!K26</f>
        <v>#DIV/0!</v>
      </c>
      <c r="L17" s="577" t="e">
        <f>L16/ÜLDANDMED!L26</f>
        <v>#DIV/0!</v>
      </c>
      <c r="M17" s="577" t="e">
        <f>M16/ÜLDANDMED!M26</f>
        <v>#DIV/0!</v>
      </c>
      <c r="N17" s="577" t="e">
        <f>N16/ÜLDANDMED!N26</f>
        <v>#DIV/0!</v>
      </c>
      <c r="O17" s="577" t="e">
        <f>O16/ÜLDANDMED!O26</f>
        <v>#DIV/0!</v>
      </c>
      <c r="P17" s="576" t="e">
        <f>P16/ööbimised_2024</f>
        <v>#DIV/0!</v>
      </c>
      <c r="Q17" s="617"/>
      <c r="R17" s="618"/>
      <c r="S17" s="619"/>
      <c r="U17" s="64"/>
    </row>
    <row r="18" spans="2:21" ht="15.75" thickBot="1">
      <c r="B18" s="247"/>
      <c r="C18" s="111" t="s">
        <v>68</v>
      </c>
      <c r="D18" s="333" t="e">
        <f>D16/ÜLDANDMED!$D$16</f>
        <v>#DIV/0!</v>
      </c>
      <c r="E18" s="333" t="e">
        <f>E16/ÜLDANDMED!$D$16</f>
        <v>#DIV/0!</v>
      </c>
      <c r="F18" s="333" t="e">
        <f>F16/ÜLDANDMED!$D$16</f>
        <v>#DIV/0!</v>
      </c>
      <c r="G18" s="333" t="e">
        <f>G16/ÜLDANDMED!$D$16</f>
        <v>#DIV/0!</v>
      </c>
      <c r="H18" s="333" t="e">
        <f>H16/ÜLDANDMED!$D$16</f>
        <v>#DIV/0!</v>
      </c>
      <c r="I18" s="333" t="e">
        <f>I16/ÜLDANDMED!$D$16</f>
        <v>#DIV/0!</v>
      </c>
      <c r="J18" s="333" t="e">
        <f>J16/ÜLDANDMED!$D$16</f>
        <v>#DIV/0!</v>
      </c>
      <c r="K18" s="333" t="e">
        <f>K16/ÜLDANDMED!$D$16</f>
        <v>#DIV/0!</v>
      </c>
      <c r="L18" s="333" t="e">
        <f>L16/ÜLDANDMED!$D$16</f>
        <v>#DIV/0!</v>
      </c>
      <c r="M18" s="333" t="e">
        <f>M16/ÜLDANDMED!$D$16</f>
        <v>#DIV/0!</v>
      </c>
      <c r="N18" s="333" t="e">
        <f>N16/ÜLDANDMED!$D$16</f>
        <v>#DIV/0!</v>
      </c>
      <c r="O18" s="333" t="e">
        <f>O16/ÜLDANDMED!$D$16</f>
        <v>#DIV/0!</v>
      </c>
      <c r="P18" s="334" t="e">
        <f>P16/üldpind_2024</f>
        <v>#DIV/0!</v>
      </c>
      <c r="Q18" s="620"/>
      <c r="R18" s="621"/>
      <c r="S18" s="622"/>
    </row>
    <row r="19" spans="2:21">
      <c r="B19" s="72">
        <f>ÜLDANDMED!E14</f>
        <v>2025</v>
      </c>
      <c r="C19" s="256" t="s">
        <v>66</v>
      </c>
      <c r="D19" s="294"/>
      <c r="E19" s="294"/>
      <c r="F19" s="294"/>
      <c r="G19" s="294"/>
      <c r="H19" s="294"/>
      <c r="I19" s="294"/>
      <c r="J19" s="294"/>
      <c r="K19" s="294"/>
      <c r="L19" s="294"/>
      <c r="M19" s="294"/>
      <c r="N19" s="294"/>
      <c r="O19" s="294"/>
      <c r="P19" s="332">
        <f t="shared" ref="P19:P31" si="0">SUM(D19:O19)</f>
        <v>0</v>
      </c>
      <c r="Q19" s="399"/>
      <c r="R19" s="266" t="str">
        <f>IF(Q19="Tallinn",LOOKUP(Q19,'KHG eriheitetegurid'!$C$18,'KHG eriheitetegurid'!$D$18),IF(Q19="Tartu",LOOKUP(Q19,'KHG eriheitetegurid'!$C$27,'KHG eriheitetegurid'!$D$27),IF(Q19="Pärnu",LOOKUP(Q19,'KHG eriheitetegurid'!$C$36,'KHG eriheitetegurid'!$D$36),IF(OR(Q19="Muu",Q19=""),""))))</f>
        <v/>
      </c>
      <c r="S19" s="400"/>
    </row>
    <row r="20" spans="2:21">
      <c r="B20" s="242"/>
      <c r="C20" s="246" t="s">
        <v>67</v>
      </c>
      <c r="D20" s="577" t="e">
        <f>D19/ÜLDANDMED!D29</f>
        <v>#DIV/0!</v>
      </c>
      <c r="E20" s="577" t="e">
        <f>E19/ÜLDANDMED!E29</f>
        <v>#DIV/0!</v>
      </c>
      <c r="F20" s="577" t="e">
        <f>F19/ÜLDANDMED!F29</f>
        <v>#DIV/0!</v>
      </c>
      <c r="G20" s="577" t="e">
        <f>G19/ÜLDANDMED!G29</f>
        <v>#DIV/0!</v>
      </c>
      <c r="H20" s="577" t="e">
        <f>H19/ÜLDANDMED!H29</f>
        <v>#DIV/0!</v>
      </c>
      <c r="I20" s="577" t="e">
        <f>I19/ÜLDANDMED!I29</f>
        <v>#DIV/0!</v>
      </c>
      <c r="J20" s="577" t="e">
        <f>J19/ÜLDANDMED!J29</f>
        <v>#DIV/0!</v>
      </c>
      <c r="K20" s="577" t="e">
        <f>K19/ÜLDANDMED!K29</f>
        <v>#DIV/0!</v>
      </c>
      <c r="L20" s="577" t="e">
        <f>L19/ÜLDANDMED!L29</f>
        <v>#DIV/0!</v>
      </c>
      <c r="M20" s="577" t="e">
        <f>M19/ÜLDANDMED!M29</f>
        <v>#DIV/0!</v>
      </c>
      <c r="N20" s="577" t="e">
        <f>N19/ÜLDANDMED!N29</f>
        <v>#DIV/0!</v>
      </c>
      <c r="O20" s="577" t="e">
        <f>O19/ÜLDANDMED!O29</f>
        <v>#DIV/0!</v>
      </c>
      <c r="P20" s="576" t="e">
        <f>P19/ööbimised_2025</f>
        <v>#DIV/0!</v>
      </c>
      <c r="Q20" s="617"/>
      <c r="R20" s="618"/>
      <c r="S20" s="619"/>
      <c r="U20" s="64"/>
    </row>
    <row r="21" spans="2:21" ht="15.75" thickBot="1">
      <c r="B21" s="247"/>
      <c r="C21" s="111" t="s">
        <v>68</v>
      </c>
      <c r="D21" s="333" t="e">
        <f>D19/ÜLDANDMED!$E$16</f>
        <v>#DIV/0!</v>
      </c>
      <c r="E21" s="333" t="e">
        <f>E19/ÜLDANDMED!$E$16</f>
        <v>#DIV/0!</v>
      </c>
      <c r="F21" s="333" t="e">
        <f>F19/ÜLDANDMED!$E$16</f>
        <v>#DIV/0!</v>
      </c>
      <c r="G21" s="333" t="e">
        <f>G19/ÜLDANDMED!$E$16</f>
        <v>#DIV/0!</v>
      </c>
      <c r="H21" s="333" t="e">
        <f>H19/ÜLDANDMED!$E$16</f>
        <v>#DIV/0!</v>
      </c>
      <c r="I21" s="333" t="e">
        <f>I19/ÜLDANDMED!$E$16</f>
        <v>#DIV/0!</v>
      </c>
      <c r="J21" s="333" t="e">
        <f>J19/ÜLDANDMED!$E$16</f>
        <v>#DIV/0!</v>
      </c>
      <c r="K21" s="333" t="e">
        <f>K19/ÜLDANDMED!$E$16</f>
        <v>#DIV/0!</v>
      </c>
      <c r="L21" s="333" t="e">
        <f>L19/ÜLDANDMED!$E$16</f>
        <v>#DIV/0!</v>
      </c>
      <c r="M21" s="333" t="e">
        <f>M19/ÜLDANDMED!$E$16</f>
        <v>#DIV/0!</v>
      </c>
      <c r="N21" s="333" t="e">
        <f>N19/ÜLDANDMED!$E$16</f>
        <v>#DIV/0!</v>
      </c>
      <c r="O21" s="333" t="e">
        <f>O19/ÜLDANDMED!$E$16</f>
        <v>#DIV/0!</v>
      </c>
      <c r="P21" s="334" t="e">
        <f>P19/üldpind_2025</f>
        <v>#DIV/0!</v>
      </c>
      <c r="Q21" s="620"/>
      <c r="R21" s="621"/>
      <c r="S21" s="622"/>
    </row>
    <row r="22" spans="2:21">
      <c r="B22" s="72">
        <f>ÜLDANDMED!F14</f>
        <v>2026</v>
      </c>
      <c r="C22" s="256" t="s">
        <v>66</v>
      </c>
      <c r="D22" s="294"/>
      <c r="E22" s="294"/>
      <c r="F22" s="294"/>
      <c r="G22" s="294"/>
      <c r="H22" s="294"/>
      <c r="I22" s="294"/>
      <c r="J22" s="294"/>
      <c r="K22" s="294"/>
      <c r="L22" s="294"/>
      <c r="M22" s="294"/>
      <c r="N22" s="294"/>
      <c r="O22" s="294"/>
      <c r="P22" s="332">
        <f t="shared" si="0"/>
        <v>0</v>
      </c>
      <c r="Q22" s="399"/>
      <c r="R22" s="266" t="str">
        <f>IF(Q22="Tallinn",LOOKUP(Q22,'KHG eriheitetegurid'!$C$19,'KHG eriheitetegurid'!$D$19),IF(Q22="Tartu",LOOKUP(Q22,'KHG eriheitetegurid'!$C$28,'KHG eriheitetegurid'!$D$28),IF(Q22="Pärnu",LOOKUP(Q22,'KHG eriheitetegurid'!$C$37,'KHG eriheitetegurid'!$D$37),IF(OR(Q22="Muu",Q22=""),""))))</f>
        <v/>
      </c>
      <c r="S22" s="401"/>
    </row>
    <row r="23" spans="2:21">
      <c r="B23" s="242"/>
      <c r="C23" s="246" t="s">
        <v>67</v>
      </c>
      <c r="D23" s="577" t="e">
        <f>D22/ÜLDANDMED!D32</f>
        <v>#DIV/0!</v>
      </c>
      <c r="E23" s="577" t="e">
        <f>E22/ÜLDANDMED!E32</f>
        <v>#DIV/0!</v>
      </c>
      <c r="F23" s="577" t="e">
        <f>F22/ÜLDANDMED!F32</f>
        <v>#DIV/0!</v>
      </c>
      <c r="G23" s="577" t="e">
        <f>G22/ÜLDANDMED!G32</f>
        <v>#DIV/0!</v>
      </c>
      <c r="H23" s="577" t="e">
        <f>H22/ÜLDANDMED!H32</f>
        <v>#DIV/0!</v>
      </c>
      <c r="I23" s="577" t="e">
        <f>I22/ÜLDANDMED!I32</f>
        <v>#DIV/0!</v>
      </c>
      <c r="J23" s="577" t="e">
        <f>J22/ÜLDANDMED!J32</f>
        <v>#DIV/0!</v>
      </c>
      <c r="K23" s="577" t="e">
        <f>K22/ÜLDANDMED!K32</f>
        <v>#DIV/0!</v>
      </c>
      <c r="L23" s="577" t="e">
        <f>L22/ÜLDANDMED!L32</f>
        <v>#DIV/0!</v>
      </c>
      <c r="M23" s="577" t="e">
        <f>M22/ÜLDANDMED!M32</f>
        <v>#DIV/0!</v>
      </c>
      <c r="N23" s="577" t="e">
        <f>N22/ÜLDANDMED!N32</f>
        <v>#DIV/0!</v>
      </c>
      <c r="O23" s="577" t="e">
        <f>O22/ÜLDANDMED!O32</f>
        <v>#DIV/0!</v>
      </c>
      <c r="P23" s="576" t="e">
        <f>P22/ööbimised_2026</f>
        <v>#DIV/0!</v>
      </c>
      <c r="Q23" s="617"/>
      <c r="R23" s="618"/>
      <c r="S23" s="619"/>
      <c r="U23" s="64"/>
    </row>
    <row r="24" spans="2:21" ht="15.75" thickBot="1">
      <c r="B24" s="247"/>
      <c r="C24" s="111" t="s">
        <v>68</v>
      </c>
      <c r="D24" s="333" t="e">
        <f>D22/ÜLDANDMED!$F$16</f>
        <v>#DIV/0!</v>
      </c>
      <c r="E24" s="333" t="e">
        <f>E22/ÜLDANDMED!$F$16</f>
        <v>#DIV/0!</v>
      </c>
      <c r="F24" s="333" t="e">
        <f>F22/ÜLDANDMED!$F$16</f>
        <v>#DIV/0!</v>
      </c>
      <c r="G24" s="333" t="e">
        <f>G22/ÜLDANDMED!$F$16</f>
        <v>#DIV/0!</v>
      </c>
      <c r="H24" s="333" t="e">
        <f>H22/ÜLDANDMED!$F$16</f>
        <v>#DIV/0!</v>
      </c>
      <c r="I24" s="333" t="e">
        <f>I22/ÜLDANDMED!$F$16</f>
        <v>#DIV/0!</v>
      </c>
      <c r="J24" s="333" t="e">
        <f>J22/ÜLDANDMED!$F$16</f>
        <v>#DIV/0!</v>
      </c>
      <c r="K24" s="333" t="e">
        <f>K22/ÜLDANDMED!$F$16</f>
        <v>#DIV/0!</v>
      </c>
      <c r="L24" s="333" t="e">
        <f>L22/ÜLDANDMED!$F$16</f>
        <v>#DIV/0!</v>
      </c>
      <c r="M24" s="333" t="e">
        <f>M22/ÜLDANDMED!$F$16</f>
        <v>#DIV/0!</v>
      </c>
      <c r="N24" s="333" t="e">
        <f>N22/ÜLDANDMED!$F$16</f>
        <v>#DIV/0!</v>
      </c>
      <c r="O24" s="333" t="e">
        <f>O22/ÜLDANDMED!$F$16</f>
        <v>#DIV/0!</v>
      </c>
      <c r="P24" s="334" t="e">
        <f>P22/üldpind_2026</f>
        <v>#DIV/0!</v>
      </c>
      <c r="Q24" s="620"/>
      <c r="R24" s="621"/>
      <c r="S24" s="622"/>
    </row>
    <row r="25" spans="2:21">
      <c r="B25" s="72">
        <f>ÜLDANDMED!G14</f>
        <v>2027</v>
      </c>
      <c r="C25" s="256" t="s">
        <v>66</v>
      </c>
      <c r="D25" s="294"/>
      <c r="E25" s="294"/>
      <c r="F25" s="294"/>
      <c r="G25" s="294"/>
      <c r="H25" s="294"/>
      <c r="I25" s="294"/>
      <c r="J25" s="294"/>
      <c r="K25" s="294"/>
      <c r="L25" s="294"/>
      <c r="M25" s="294"/>
      <c r="N25" s="294"/>
      <c r="O25" s="294"/>
      <c r="P25" s="332">
        <f t="shared" si="0"/>
        <v>0</v>
      </c>
      <c r="Q25" s="399"/>
      <c r="R25" s="266" t="str">
        <f>IF(Q25="Tallinn",LOOKUP(Q25,'KHG eriheitetegurid'!$C$20,'KHG eriheitetegurid'!$D$20),IF(Q25="Tartu",LOOKUP(Q25,'KHG eriheitetegurid'!$C$29,'KHG eriheitetegurid'!$D$29),IF(Q25="Pärnu",LOOKUP(Q25,'KHG eriheitetegurid'!$C$38,'KHG eriheitetegurid'!$D$38),IF(OR(Q25="Muu",Q25=""),""))))</f>
        <v/>
      </c>
      <c r="S25" s="400"/>
    </row>
    <row r="26" spans="2:21">
      <c r="B26" s="242"/>
      <c r="C26" s="246" t="s">
        <v>67</v>
      </c>
      <c r="D26" s="577" t="e">
        <f>D25/ÜLDANDMED!D35</f>
        <v>#DIV/0!</v>
      </c>
      <c r="E26" s="577" t="e">
        <f>E25/ÜLDANDMED!E35</f>
        <v>#DIV/0!</v>
      </c>
      <c r="F26" s="577" t="e">
        <f>F25/ÜLDANDMED!F35</f>
        <v>#DIV/0!</v>
      </c>
      <c r="G26" s="577" t="e">
        <f>G25/ÜLDANDMED!G35</f>
        <v>#DIV/0!</v>
      </c>
      <c r="H26" s="577" t="e">
        <f>H25/ÜLDANDMED!H35</f>
        <v>#DIV/0!</v>
      </c>
      <c r="I26" s="577" t="e">
        <f>I25/ÜLDANDMED!I35</f>
        <v>#DIV/0!</v>
      </c>
      <c r="J26" s="577" t="e">
        <f>J25/ÜLDANDMED!J35</f>
        <v>#DIV/0!</v>
      </c>
      <c r="K26" s="577" t="e">
        <f>K25/ÜLDANDMED!K35</f>
        <v>#DIV/0!</v>
      </c>
      <c r="L26" s="577" t="e">
        <f>L25/ÜLDANDMED!L35</f>
        <v>#DIV/0!</v>
      </c>
      <c r="M26" s="577" t="e">
        <f>M25/ÜLDANDMED!M35</f>
        <v>#DIV/0!</v>
      </c>
      <c r="N26" s="577" t="e">
        <f>N25/ÜLDANDMED!N35</f>
        <v>#DIV/0!</v>
      </c>
      <c r="O26" s="577" t="e">
        <f>O25/ÜLDANDMED!O35</f>
        <v>#DIV/0!</v>
      </c>
      <c r="P26" s="576" t="e">
        <f>P25/ööbimised_2027</f>
        <v>#DIV/0!</v>
      </c>
      <c r="Q26" s="617"/>
      <c r="R26" s="618"/>
      <c r="S26" s="619"/>
      <c r="U26" s="64"/>
    </row>
    <row r="27" spans="2:21" ht="15.75" thickBot="1">
      <c r="B27" s="247"/>
      <c r="C27" s="111" t="s">
        <v>68</v>
      </c>
      <c r="D27" s="333" t="e">
        <f>D25/ÜLDANDMED!$G$16</f>
        <v>#DIV/0!</v>
      </c>
      <c r="E27" s="333" t="e">
        <f>E25/ÜLDANDMED!$G$16</f>
        <v>#DIV/0!</v>
      </c>
      <c r="F27" s="333" t="e">
        <f>F25/ÜLDANDMED!$G$16</f>
        <v>#DIV/0!</v>
      </c>
      <c r="G27" s="333" t="e">
        <f>G25/ÜLDANDMED!$G$16</f>
        <v>#DIV/0!</v>
      </c>
      <c r="H27" s="333" t="e">
        <f>H25/ÜLDANDMED!$G$16</f>
        <v>#DIV/0!</v>
      </c>
      <c r="I27" s="333" t="e">
        <f>I25/ÜLDANDMED!$G$16</f>
        <v>#DIV/0!</v>
      </c>
      <c r="J27" s="333" t="e">
        <f>J25/ÜLDANDMED!$G$16</f>
        <v>#DIV/0!</v>
      </c>
      <c r="K27" s="333" t="e">
        <f>K25/ÜLDANDMED!$G$16</f>
        <v>#DIV/0!</v>
      </c>
      <c r="L27" s="333" t="e">
        <f>L25/ÜLDANDMED!$G$16</f>
        <v>#DIV/0!</v>
      </c>
      <c r="M27" s="333" t="e">
        <f>M25/ÜLDANDMED!$G$16</f>
        <v>#DIV/0!</v>
      </c>
      <c r="N27" s="333" t="e">
        <f>N25/ÜLDANDMED!$G$16</f>
        <v>#DIV/0!</v>
      </c>
      <c r="O27" s="333" t="e">
        <f>O25/ÜLDANDMED!$G$16</f>
        <v>#DIV/0!</v>
      </c>
      <c r="P27" s="334" t="e">
        <f>P25/üldpind_2027</f>
        <v>#DIV/0!</v>
      </c>
      <c r="Q27" s="620"/>
      <c r="R27" s="621"/>
      <c r="S27" s="622"/>
    </row>
    <row r="28" spans="2:21">
      <c r="B28" s="72">
        <f>ÜLDANDMED!H14</f>
        <v>2028</v>
      </c>
      <c r="C28" s="256" t="s">
        <v>66</v>
      </c>
      <c r="D28" s="294"/>
      <c r="E28" s="294"/>
      <c r="F28" s="294"/>
      <c r="G28" s="294"/>
      <c r="H28" s="294"/>
      <c r="I28" s="294"/>
      <c r="J28" s="294"/>
      <c r="K28" s="294"/>
      <c r="L28" s="294"/>
      <c r="M28" s="294"/>
      <c r="N28" s="294"/>
      <c r="O28" s="294"/>
      <c r="P28" s="332">
        <f t="shared" si="0"/>
        <v>0</v>
      </c>
      <c r="Q28" s="399"/>
      <c r="R28" s="266" t="str">
        <f>IF(Q28="Tallinn",LOOKUP(Q28,'KHG eriheitetegurid'!$C$21,'KHG eriheitetegurid'!$D$21),IF(Q28="Tartu",LOOKUP(Q28,'KHG eriheitetegurid'!$C$30,'KHG eriheitetegurid'!$D$30),IF(Q28="Pärnu",LOOKUP(Q28,'KHG eriheitetegurid'!$C$39,'KHG eriheitetegurid'!$D$39),IF(OR(Q28="Muu",Q28=""),""))))</f>
        <v/>
      </c>
      <c r="S28" s="401"/>
    </row>
    <row r="29" spans="2:21">
      <c r="B29" s="242"/>
      <c r="C29" s="246" t="s">
        <v>67</v>
      </c>
      <c r="D29" s="577" t="e">
        <f>D28/ÜLDANDMED!D38</f>
        <v>#DIV/0!</v>
      </c>
      <c r="E29" s="577" t="e">
        <f>E28/ÜLDANDMED!E38</f>
        <v>#DIV/0!</v>
      </c>
      <c r="F29" s="577" t="e">
        <f>F28/ÜLDANDMED!F38</f>
        <v>#DIV/0!</v>
      </c>
      <c r="G29" s="577" t="e">
        <f>G28/ÜLDANDMED!G38</f>
        <v>#DIV/0!</v>
      </c>
      <c r="H29" s="577" t="e">
        <f>H28/ÜLDANDMED!H38</f>
        <v>#DIV/0!</v>
      </c>
      <c r="I29" s="577" t="e">
        <f>I28/ÜLDANDMED!I38</f>
        <v>#DIV/0!</v>
      </c>
      <c r="J29" s="577" t="e">
        <f>J28/ÜLDANDMED!J38</f>
        <v>#DIV/0!</v>
      </c>
      <c r="K29" s="577" t="e">
        <f>K28/ÜLDANDMED!K38</f>
        <v>#DIV/0!</v>
      </c>
      <c r="L29" s="577" t="e">
        <f>L28/ÜLDANDMED!L38</f>
        <v>#DIV/0!</v>
      </c>
      <c r="M29" s="577" t="e">
        <f>M28/ÜLDANDMED!M38</f>
        <v>#DIV/0!</v>
      </c>
      <c r="N29" s="577" t="e">
        <f>N28/ÜLDANDMED!N38</f>
        <v>#DIV/0!</v>
      </c>
      <c r="O29" s="577" t="e">
        <f>O28/ÜLDANDMED!O38</f>
        <v>#DIV/0!</v>
      </c>
      <c r="P29" s="576" t="e">
        <f>P28/ööbimised_2028</f>
        <v>#DIV/0!</v>
      </c>
      <c r="Q29" s="617"/>
      <c r="R29" s="618"/>
      <c r="S29" s="619"/>
      <c r="U29" s="64"/>
    </row>
    <row r="30" spans="2:21" ht="15.75" thickBot="1">
      <c r="B30" s="247"/>
      <c r="C30" s="111" t="s">
        <v>68</v>
      </c>
      <c r="D30" s="333" t="e">
        <f>D28/ÜLDANDMED!$H$16</f>
        <v>#DIV/0!</v>
      </c>
      <c r="E30" s="333" t="e">
        <f>E28/ÜLDANDMED!$H$16</f>
        <v>#DIV/0!</v>
      </c>
      <c r="F30" s="333" t="e">
        <f>F28/ÜLDANDMED!$H$16</f>
        <v>#DIV/0!</v>
      </c>
      <c r="G30" s="333" t="e">
        <f>G28/ÜLDANDMED!$H$16</f>
        <v>#DIV/0!</v>
      </c>
      <c r="H30" s="333" t="e">
        <f>H28/ÜLDANDMED!$H$16</f>
        <v>#DIV/0!</v>
      </c>
      <c r="I30" s="333" t="e">
        <f>I28/ÜLDANDMED!$H$16</f>
        <v>#DIV/0!</v>
      </c>
      <c r="J30" s="333" t="e">
        <f>J28/ÜLDANDMED!$H$16</f>
        <v>#DIV/0!</v>
      </c>
      <c r="K30" s="333" t="e">
        <f>K28/ÜLDANDMED!$H$16</f>
        <v>#DIV/0!</v>
      </c>
      <c r="L30" s="333" t="e">
        <f>L28/ÜLDANDMED!$H$16</f>
        <v>#DIV/0!</v>
      </c>
      <c r="M30" s="333" t="e">
        <f>M28/ÜLDANDMED!$H$16</f>
        <v>#DIV/0!</v>
      </c>
      <c r="N30" s="333" t="e">
        <f>N28/ÜLDANDMED!$H$16</f>
        <v>#DIV/0!</v>
      </c>
      <c r="O30" s="333" t="e">
        <f>O28/ÜLDANDMED!$H$16</f>
        <v>#DIV/0!</v>
      </c>
      <c r="P30" s="334" t="e">
        <f>P28/üldpind_2028</f>
        <v>#DIV/0!</v>
      </c>
      <c r="Q30" s="620"/>
      <c r="R30" s="621"/>
      <c r="S30" s="622"/>
    </row>
    <row r="31" spans="2:21">
      <c r="B31" s="72">
        <f>ÜLDANDMED!I14</f>
        <v>2029</v>
      </c>
      <c r="C31" s="256" t="s">
        <v>66</v>
      </c>
      <c r="D31" s="294"/>
      <c r="E31" s="294"/>
      <c r="F31" s="294"/>
      <c r="G31" s="294"/>
      <c r="H31" s="294"/>
      <c r="I31" s="294"/>
      <c r="J31" s="294"/>
      <c r="K31" s="294"/>
      <c r="L31" s="294"/>
      <c r="M31" s="294"/>
      <c r="N31" s="294"/>
      <c r="O31" s="294"/>
      <c r="P31" s="332">
        <f t="shared" si="0"/>
        <v>0</v>
      </c>
      <c r="Q31" s="399"/>
      <c r="R31" s="266" t="str">
        <f>IF(Q31="Tallinn",LOOKUP(Q31,'KHG eriheitetegurid'!$C$22,'KHG eriheitetegurid'!$D$22),IF(Q31="Tartu",LOOKUP(Q31,'KHG eriheitetegurid'!$C$31,'KHG eriheitetegurid'!$D$31),IF(Q31="Pärnu",LOOKUP(Q31,'KHG eriheitetegurid'!$C$40,'KHG eriheitetegurid'!$D$40),IF(OR(Q31="Muu",Q31=""),""))))</f>
        <v/>
      </c>
      <c r="S31" s="400"/>
    </row>
    <row r="32" spans="2:21">
      <c r="B32" s="242"/>
      <c r="C32" s="246" t="s">
        <v>67</v>
      </c>
      <c r="D32" s="577" t="e">
        <f>D31/ÜLDANDMED!D41</f>
        <v>#DIV/0!</v>
      </c>
      <c r="E32" s="577" t="e">
        <f>E31/ÜLDANDMED!E41</f>
        <v>#DIV/0!</v>
      </c>
      <c r="F32" s="577" t="e">
        <f>F31/ÜLDANDMED!F41</f>
        <v>#DIV/0!</v>
      </c>
      <c r="G32" s="577" t="e">
        <f>G31/ÜLDANDMED!G41</f>
        <v>#DIV/0!</v>
      </c>
      <c r="H32" s="577" t="e">
        <f>H31/ÜLDANDMED!H41</f>
        <v>#DIV/0!</v>
      </c>
      <c r="I32" s="577" t="e">
        <f>I31/ÜLDANDMED!I41</f>
        <v>#DIV/0!</v>
      </c>
      <c r="J32" s="577" t="e">
        <f>J31/ÜLDANDMED!J41</f>
        <v>#DIV/0!</v>
      </c>
      <c r="K32" s="577" t="e">
        <f>K31/ÜLDANDMED!K41</f>
        <v>#DIV/0!</v>
      </c>
      <c r="L32" s="577" t="e">
        <f>L31/ÜLDANDMED!L41</f>
        <v>#DIV/0!</v>
      </c>
      <c r="M32" s="577" t="e">
        <f>M31/ÜLDANDMED!M41</f>
        <v>#DIV/0!</v>
      </c>
      <c r="N32" s="577" t="e">
        <f>N31/ÜLDANDMED!N41</f>
        <v>#DIV/0!</v>
      </c>
      <c r="O32" s="577" t="e">
        <f>O31/ÜLDANDMED!O41</f>
        <v>#DIV/0!</v>
      </c>
      <c r="P32" s="576" t="e">
        <f>P31/ööbimised_2029</f>
        <v>#DIV/0!</v>
      </c>
      <c r="Q32" s="617"/>
      <c r="R32" s="618"/>
      <c r="S32" s="619"/>
      <c r="U32" s="64"/>
    </row>
    <row r="33" spans="2:21" ht="15.75" thickBot="1">
      <c r="B33" s="247"/>
      <c r="C33" s="111" t="s">
        <v>68</v>
      </c>
      <c r="D33" s="333" t="e">
        <f>D31/ÜLDANDMED!$I$16</f>
        <v>#DIV/0!</v>
      </c>
      <c r="E33" s="333" t="e">
        <f>E31/ÜLDANDMED!$I$16</f>
        <v>#DIV/0!</v>
      </c>
      <c r="F33" s="333" t="e">
        <f>F31/ÜLDANDMED!$I$16</f>
        <v>#DIV/0!</v>
      </c>
      <c r="G33" s="333" t="e">
        <f>G31/ÜLDANDMED!$I$16</f>
        <v>#DIV/0!</v>
      </c>
      <c r="H33" s="333" t="e">
        <f>H31/ÜLDANDMED!$I$16</f>
        <v>#DIV/0!</v>
      </c>
      <c r="I33" s="333" t="e">
        <f>I31/ÜLDANDMED!$I$16</f>
        <v>#DIV/0!</v>
      </c>
      <c r="J33" s="333" t="e">
        <f>J31/ÜLDANDMED!$I$16</f>
        <v>#DIV/0!</v>
      </c>
      <c r="K33" s="333" t="e">
        <f>K31/ÜLDANDMED!$I$16</f>
        <v>#DIV/0!</v>
      </c>
      <c r="L33" s="333" t="e">
        <f>L31/ÜLDANDMED!$I$16</f>
        <v>#DIV/0!</v>
      </c>
      <c r="M33" s="333" t="e">
        <f>M31/ÜLDANDMED!$I$16</f>
        <v>#DIV/0!</v>
      </c>
      <c r="N33" s="333" t="e">
        <f>N31/ÜLDANDMED!$I$16</f>
        <v>#DIV/0!</v>
      </c>
      <c r="O33" s="333" t="e">
        <f>O31/ÜLDANDMED!$I$16</f>
        <v>#DIV/0!</v>
      </c>
      <c r="P33" s="334" t="e">
        <f>P31/üldpind_2029</f>
        <v>#DIV/0!</v>
      </c>
      <c r="Q33" s="620"/>
      <c r="R33" s="621"/>
      <c r="S33" s="622"/>
    </row>
    <row r="34" spans="2:21">
      <c r="B34" s="72">
        <f>ÜLDANDMED!J14</f>
        <v>2030</v>
      </c>
      <c r="C34" s="256" t="s">
        <v>66</v>
      </c>
      <c r="D34" s="294"/>
      <c r="E34" s="294"/>
      <c r="F34" s="294"/>
      <c r="G34" s="294"/>
      <c r="H34" s="294"/>
      <c r="I34" s="294"/>
      <c r="J34" s="294"/>
      <c r="K34" s="294"/>
      <c r="L34" s="294"/>
      <c r="M34" s="294"/>
      <c r="N34" s="294"/>
      <c r="O34" s="294"/>
      <c r="P34" s="335">
        <f t="shared" ref="P34" si="1">SUM(D34:O34)</f>
        <v>0</v>
      </c>
      <c r="Q34" s="399"/>
      <c r="R34" s="266"/>
      <c r="S34" s="401"/>
    </row>
    <row r="35" spans="2:21">
      <c r="B35" s="242"/>
      <c r="C35" s="246" t="s">
        <v>67</v>
      </c>
      <c r="D35" s="577" t="e">
        <f>D34/ÜLDANDMED!D44</f>
        <v>#DIV/0!</v>
      </c>
      <c r="E35" s="577" t="e">
        <f>E34/ÜLDANDMED!E44</f>
        <v>#DIV/0!</v>
      </c>
      <c r="F35" s="577" t="e">
        <f>F34/ÜLDANDMED!F44</f>
        <v>#DIV/0!</v>
      </c>
      <c r="G35" s="577" t="e">
        <f>G34/ÜLDANDMED!G44</f>
        <v>#DIV/0!</v>
      </c>
      <c r="H35" s="577" t="e">
        <f>H34/ÜLDANDMED!H44</f>
        <v>#DIV/0!</v>
      </c>
      <c r="I35" s="577" t="e">
        <f>I34/ÜLDANDMED!I44</f>
        <v>#DIV/0!</v>
      </c>
      <c r="J35" s="577" t="e">
        <f>J34/ÜLDANDMED!J44</f>
        <v>#DIV/0!</v>
      </c>
      <c r="K35" s="577" t="e">
        <f>K34/ÜLDANDMED!K44</f>
        <v>#DIV/0!</v>
      </c>
      <c r="L35" s="577" t="e">
        <f>L34/ÜLDANDMED!L44</f>
        <v>#DIV/0!</v>
      </c>
      <c r="M35" s="577" t="e">
        <f>M34/ÜLDANDMED!M44</f>
        <v>#DIV/0!</v>
      </c>
      <c r="N35" s="577" t="e">
        <f>N34/ÜLDANDMED!N44</f>
        <v>#DIV/0!</v>
      </c>
      <c r="O35" s="577" t="e">
        <f>O34/ÜLDANDMED!O44</f>
        <v>#DIV/0!</v>
      </c>
      <c r="P35" s="576" t="e">
        <f>P34/ööbimised_2030</f>
        <v>#DIV/0!</v>
      </c>
      <c r="Q35" s="617"/>
      <c r="R35" s="618"/>
      <c r="S35" s="619"/>
      <c r="U35" s="64"/>
    </row>
    <row r="36" spans="2:21" ht="15.75" thickBot="1">
      <c r="B36" s="247"/>
      <c r="C36" s="111" t="s">
        <v>68</v>
      </c>
      <c r="D36" s="333" t="e">
        <f>D34/ÜLDANDMED!$J$16</f>
        <v>#DIV/0!</v>
      </c>
      <c r="E36" s="333" t="e">
        <f>E34/ÜLDANDMED!$J$16</f>
        <v>#DIV/0!</v>
      </c>
      <c r="F36" s="333" t="e">
        <f>F34/ÜLDANDMED!$J$16</f>
        <v>#DIV/0!</v>
      </c>
      <c r="G36" s="333" t="e">
        <f>G34/ÜLDANDMED!$J$16</f>
        <v>#DIV/0!</v>
      </c>
      <c r="H36" s="333" t="e">
        <f>H34/ÜLDANDMED!$J$16</f>
        <v>#DIV/0!</v>
      </c>
      <c r="I36" s="333" t="e">
        <f>I34/ÜLDANDMED!$J$16</f>
        <v>#DIV/0!</v>
      </c>
      <c r="J36" s="333" t="e">
        <f>J34/ÜLDANDMED!$J$16</f>
        <v>#DIV/0!</v>
      </c>
      <c r="K36" s="333" t="e">
        <f>K34/ÜLDANDMED!$J$16</f>
        <v>#DIV/0!</v>
      </c>
      <c r="L36" s="333" t="e">
        <f>L34/ÜLDANDMED!$J$16</f>
        <v>#DIV/0!</v>
      </c>
      <c r="M36" s="333" t="e">
        <f>M34/ÜLDANDMED!$J$16</f>
        <v>#DIV/0!</v>
      </c>
      <c r="N36" s="333" t="e">
        <f>N34/ÜLDANDMED!$J$16</f>
        <v>#DIV/0!</v>
      </c>
      <c r="O36" s="333" t="e">
        <f>O34/ÜLDANDMED!$J$16</f>
        <v>#DIV/0!</v>
      </c>
      <c r="P36" s="334" t="e">
        <f>P34/üldpind_2030</f>
        <v>#DIV/0!</v>
      </c>
      <c r="Q36" s="620"/>
      <c r="R36" s="621"/>
      <c r="S36" s="622"/>
    </row>
    <row r="39" spans="2:21">
      <c r="F39" s="127"/>
      <c r="N39" s="1"/>
      <c r="O39" s="1"/>
      <c r="P39" s="1"/>
    </row>
    <row r="40" spans="2:21">
      <c r="N40" s="1"/>
      <c r="O40" s="1"/>
      <c r="P40" s="1"/>
      <c r="Q40" s="1"/>
    </row>
    <row r="41" spans="2:21">
      <c r="N41" s="1"/>
      <c r="O41" s="1"/>
      <c r="P41" s="1"/>
      <c r="Q41" s="1"/>
    </row>
    <row r="42" spans="2:21">
      <c r="N42" s="1"/>
      <c r="O42" s="1"/>
      <c r="P42" s="1"/>
      <c r="Q42" s="1"/>
    </row>
    <row r="43" spans="2:21">
      <c r="N43" s="1"/>
      <c r="O43" s="1"/>
      <c r="P43" s="1"/>
      <c r="Q43" s="1"/>
    </row>
    <row r="44" spans="2:21">
      <c r="N44" s="1"/>
      <c r="O44" s="1"/>
      <c r="P44" s="1"/>
      <c r="Q44" s="1"/>
    </row>
    <row r="45" spans="2:21">
      <c r="N45" s="1"/>
      <c r="O45" s="1"/>
      <c r="P45" s="1"/>
      <c r="Q45" s="1"/>
    </row>
    <row r="46" spans="2:21">
      <c r="N46" s="1"/>
      <c r="O46" s="267"/>
      <c r="P46" s="1"/>
      <c r="Q46" s="1"/>
    </row>
    <row r="47" spans="2:21">
      <c r="N47" s="1"/>
      <c r="O47" s="1"/>
      <c r="P47" s="1"/>
      <c r="Q47" s="1"/>
    </row>
    <row r="48" spans="2:21">
      <c r="N48" s="1"/>
      <c r="O48" s="1"/>
      <c r="P48" s="1"/>
      <c r="Q48" s="1"/>
    </row>
    <row r="49" spans="14:17">
      <c r="N49" s="1"/>
      <c r="O49" s="1"/>
      <c r="P49" s="1"/>
      <c r="Q49" s="1"/>
    </row>
    <row r="50" spans="14:17">
      <c r="N50" s="1"/>
      <c r="O50" s="1"/>
      <c r="P50" s="1"/>
      <c r="Q50" s="1"/>
    </row>
    <row r="51" spans="14:17">
      <c r="N51" s="1"/>
      <c r="O51" s="1"/>
      <c r="P51" s="1"/>
      <c r="Q51" s="1"/>
    </row>
    <row r="52" spans="14:17">
      <c r="N52" s="1"/>
      <c r="O52" s="1"/>
      <c r="P52" s="1"/>
      <c r="Q52" s="1"/>
    </row>
    <row r="53" spans="14:17">
      <c r="N53" s="1"/>
      <c r="O53" s="1"/>
      <c r="P53" s="1"/>
    </row>
    <row r="54" spans="14:17">
      <c r="N54" s="1"/>
      <c r="O54" s="1"/>
      <c r="P54" s="1"/>
    </row>
    <row r="55" spans="14:17">
      <c r="N55" s="1"/>
      <c r="O55" s="1"/>
      <c r="P55" s="1"/>
    </row>
    <row r="56" spans="14:17">
      <c r="N56" s="1"/>
      <c r="O56" s="1"/>
      <c r="P56" s="1"/>
    </row>
    <row r="57" spans="14:17">
      <c r="N57" s="1"/>
      <c r="O57" s="1"/>
      <c r="P57" s="1"/>
    </row>
    <row r="58" spans="14:17">
      <c r="O58" s="63"/>
      <c r="P58" s="1"/>
    </row>
    <row r="59" spans="14:17">
      <c r="O59" s="63"/>
      <c r="P59" s="1"/>
    </row>
    <row r="60" spans="14:17">
      <c r="O60" s="63"/>
      <c r="P60" s="1"/>
    </row>
    <row r="61" spans="14:17">
      <c r="O61" s="63"/>
      <c r="P61" s="1"/>
    </row>
    <row r="62" spans="14:17">
      <c r="O62" s="63"/>
      <c r="P62" s="1"/>
    </row>
    <row r="63" spans="14:17">
      <c r="O63" s="63"/>
      <c r="P63" s="1"/>
    </row>
  </sheetData>
  <mergeCells count="6">
    <mergeCell ref="Q14:S14"/>
    <mergeCell ref="B6:P6"/>
    <mergeCell ref="B9:C9"/>
    <mergeCell ref="B3:S3"/>
    <mergeCell ref="B4:S4"/>
    <mergeCell ref="B5:S5"/>
  </mergeCells>
  <conditionalFormatting sqref="R16:R36">
    <cfRule type="expression" dxfId="50" priority="4">
      <formula>$Q16="Muu"</formula>
    </cfRule>
    <cfRule type="expression" dxfId="49" priority="5">
      <formula>OR($Q16="Tallinn",$Q16="Tartu",$Q16="Pärnu")</formula>
    </cfRule>
  </conditionalFormatting>
  <dataValidations count="1">
    <dataValidation type="list" allowBlank="1" showInputMessage="1" showErrorMessage="1" sqref="N44 N46 N48 N50 N52 N54 N56" xr:uid="{C41EDBC2-358B-4803-A2E7-32F6802E647F}">
      <formula1>$N$61:$N$63</formula1>
    </dataValidation>
  </dataValidations>
  <pageMargins left="0.70866141732283472" right="0.70866141732283472" top="0.74803149606299213" bottom="0.74803149606299213" header="0.31496062992125984" footer="0.31496062992125984"/>
  <pageSetup paperSize="9" scale="38" fitToHeight="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F89D48D-A95C-48A8-8C5F-29E61727DC94}">
          <x14:formula1>
            <xm:f>'KHG eriheitetegurid'!$B$384:$B$388</xm:f>
          </x14:formula1>
          <xm:sqref>S31 S34 S25 S22 S28 S16 S19 P54 P56</xm:sqref>
        </x14:dataValidation>
        <x14:dataValidation type="list" allowBlank="1" showInputMessage="1" showErrorMessage="1" xr:uid="{08618C39-11C9-4598-8057-245E205969CF}">
          <x14:formula1>
            <xm:f>'KHG eriheitetegurid'!$B$378:$B$381</xm:f>
          </x14:formula1>
          <xm:sqref>Q22 Q34 Q16 Q19 Q25 Q28 Q31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2F5"/>
    <pageSetUpPr fitToPage="1"/>
  </sheetPr>
  <dimension ref="A2:R31"/>
  <sheetViews>
    <sheetView showGridLines="0" zoomScale="90" zoomScaleNormal="90" workbookViewId="0">
      <pane xSplit="1" ySplit="2" topLeftCell="B3" activePane="bottomRight" state="frozen"/>
      <selection pane="bottomRight" activeCell="D18" sqref="D18:G18"/>
      <selection pane="bottomLeft" activeCell="N14" sqref="N14"/>
      <selection pane="topRight" activeCell="N14" sqref="N14"/>
    </sheetView>
  </sheetViews>
  <sheetFormatPr defaultColWidth="9.42578125" defaultRowHeight="14.85" customHeight="1"/>
  <cols>
    <col min="1" max="1" width="2.5703125" style="1" customWidth="1"/>
    <col min="2" max="2" width="7.5703125" style="1" customWidth="1"/>
    <col min="3" max="3" width="35.5703125" style="1" bestFit="1" customWidth="1"/>
    <col min="4" max="15" width="10.5703125" style="7" customWidth="1"/>
    <col min="16" max="16" width="15.5703125" style="4" customWidth="1"/>
    <col min="17" max="17" width="9.42578125" style="1"/>
    <col min="18" max="18" width="13.5703125" style="1" customWidth="1"/>
    <col min="19" max="16384" width="9.42578125" style="1"/>
  </cols>
  <sheetData>
    <row r="2" spans="1:18" ht="18.600000000000001" customHeight="1">
      <c r="B2" s="94" t="s">
        <v>69</v>
      </c>
      <c r="F2" s="248"/>
    </row>
    <row r="3" spans="1:18" ht="17.25" customHeight="1">
      <c r="A3" s="153"/>
      <c r="B3" s="648" t="s">
        <v>70</v>
      </c>
      <c r="C3" s="648"/>
      <c r="D3" s="648"/>
      <c r="E3" s="648"/>
      <c r="F3" s="648"/>
      <c r="G3" s="648"/>
      <c r="H3" s="648"/>
      <c r="I3" s="648"/>
      <c r="J3" s="648"/>
      <c r="K3" s="648"/>
      <c r="L3" s="648"/>
      <c r="M3" s="648"/>
      <c r="N3" s="648"/>
      <c r="O3" s="648"/>
      <c r="P3" s="648"/>
      <c r="R3" s="2"/>
    </row>
    <row r="4" spans="1:18" ht="30" customHeight="1">
      <c r="A4" s="153"/>
      <c r="B4" s="642" t="s">
        <v>71</v>
      </c>
      <c r="C4" s="642"/>
      <c r="D4" s="642"/>
      <c r="E4" s="642"/>
      <c r="F4" s="642"/>
      <c r="G4" s="642"/>
      <c r="H4" s="642"/>
      <c r="I4" s="642"/>
      <c r="J4" s="642"/>
      <c r="K4" s="642"/>
      <c r="L4" s="642"/>
      <c r="M4" s="642"/>
      <c r="N4" s="642"/>
      <c r="O4" s="642"/>
      <c r="P4" s="642"/>
      <c r="R4" s="2"/>
    </row>
    <row r="5" spans="1:18" ht="15">
      <c r="A5" s="153"/>
      <c r="B5" s="448" t="s">
        <v>72</v>
      </c>
      <c r="D5" s="4"/>
      <c r="E5" s="4"/>
      <c r="F5" s="4"/>
      <c r="G5" s="4"/>
      <c r="H5" s="4"/>
      <c r="I5" s="4"/>
      <c r="J5" s="4"/>
      <c r="K5" s="4"/>
      <c r="L5" s="4"/>
      <c r="M5" s="4"/>
      <c r="N5" s="4"/>
      <c r="O5" s="4"/>
      <c r="R5" s="2"/>
    </row>
    <row r="6" spans="1:18" ht="14.85" customHeight="1">
      <c r="D6" s="1"/>
      <c r="E6" s="1"/>
      <c r="F6" s="1"/>
      <c r="G6" s="1"/>
      <c r="H6" s="1"/>
      <c r="I6" s="1"/>
      <c r="J6" s="1"/>
      <c r="K6" s="1"/>
      <c r="L6" s="1"/>
      <c r="M6" s="1"/>
      <c r="N6" s="1"/>
      <c r="O6" s="1"/>
      <c r="P6" s="1"/>
    </row>
    <row r="7" spans="1:18" ht="14.85" customHeight="1">
      <c r="A7" s="153"/>
      <c r="B7" s="153"/>
      <c r="F7" s="248"/>
      <c r="R7" s="2"/>
    </row>
    <row r="8" spans="1:18" ht="14.85" customHeight="1">
      <c r="A8" s="153"/>
      <c r="B8" s="153"/>
      <c r="F8" s="248"/>
      <c r="R8" s="2"/>
    </row>
    <row r="9" spans="1:18" ht="15">
      <c r="A9" s="153"/>
      <c r="B9" s="632"/>
      <c r="C9" s="632"/>
      <c r="D9" s="632"/>
      <c r="E9" s="632"/>
      <c r="F9" s="632"/>
      <c r="G9" s="632"/>
      <c r="H9" s="632"/>
      <c r="I9" s="632"/>
      <c r="J9" s="632"/>
      <c r="K9" s="632"/>
      <c r="L9" s="632"/>
      <c r="M9" s="632"/>
      <c r="N9" s="632"/>
      <c r="O9" s="632"/>
      <c r="P9" s="632"/>
      <c r="R9" s="2"/>
    </row>
    <row r="10" spans="1:18" ht="14.85" customHeight="1">
      <c r="A10" s="153"/>
      <c r="B10" s="249"/>
      <c r="C10" s="249"/>
      <c r="D10" s="249"/>
      <c r="E10" s="249"/>
      <c r="F10" s="249"/>
      <c r="G10" s="249"/>
      <c r="H10" s="249"/>
      <c r="R10" s="2"/>
    </row>
    <row r="11" spans="1:18" ht="14.85" customHeight="1">
      <c r="A11" s="153"/>
      <c r="B11" s="643" t="s">
        <v>15</v>
      </c>
      <c r="C11" s="649"/>
      <c r="D11" s="250"/>
      <c r="E11" s="250"/>
      <c r="F11" s="250"/>
      <c r="R11" s="2"/>
    </row>
    <row r="12" spans="1:18" ht="14.85" customHeight="1">
      <c r="A12" s="153"/>
      <c r="B12" s="251"/>
      <c r="C12" s="298" t="s">
        <v>16</v>
      </c>
      <c r="D12" s="250"/>
      <c r="E12" s="250"/>
      <c r="R12" s="2"/>
    </row>
    <row r="13" spans="1:18" ht="14.85" customHeight="1">
      <c r="A13" s="153"/>
      <c r="C13" s="336" t="s">
        <v>17</v>
      </c>
      <c r="D13" s="250"/>
      <c r="E13" s="250"/>
      <c r="F13" s="250"/>
      <c r="R13" s="2"/>
    </row>
    <row r="14" spans="1:18" ht="14.85" customHeight="1" thickBot="1">
      <c r="A14" s="22"/>
      <c r="B14" s="22"/>
      <c r="C14" s="22"/>
      <c r="D14" s="127"/>
      <c r="F14" s="252"/>
      <c r="G14" s="253"/>
      <c r="R14" s="3"/>
    </row>
    <row r="15" spans="1:18" ht="30.6" customHeight="1" thickBot="1">
      <c r="A15" s="22"/>
      <c r="B15" s="254" t="s">
        <v>28</v>
      </c>
      <c r="C15" s="168" t="s">
        <v>52</v>
      </c>
      <c r="D15" s="461" t="s">
        <v>30</v>
      </c>
      <c r="E15" s="208" t="s">
        <v>31</v>
      </c>
      <c r="F15" s="208" t="s">
        <v>32</v>
      </c>
      <c r="G15" s="208" t="s">
        <v>33</v>
      </c>
      <c r="H15" s="208" t="s">
        <v>34</v>
      </c>
      <c r="I15" s="208" t="s">
        <v>35</v>
      </c>
      <c r="J15" s="208" t="s">
        <v>36</v>
      </c>
      <c r="K15" s="208" t="s">
        <v>37</v>
      </c>
      <c r="L15" s="208" t="s">
        <v>38</v>
      </c>
      <c r="M15" s="208" t="s">
        <v>39</v>
      </c>
      <c r="N15" s="208" t="s">
        <v>40</v>
      </c>
      <c r="O15" s="406" t="s">
        <v>41</v>
      </c>
      <c r="P15" s="159" t="s">
        <v>73</v>
      </c>
    </row>
    <row r="16" spans="1:18" ht="14.85" customHeight="1">
      <c r="B16" s="255">
        <f>ÜLDANDMED!D14</f>
        <v>2024</v>
      </c>
      <c r="C16" s="256" t="s">
        <v>74</v>
      </c>
      <c r="D16" s="300"/>
      <c r="E16" s="300"/>
      <c r="F16" s="300"/>
      <c r="G16" s="300"/>
      <c r="H16" s="300"/>
      <c r="I16" s="300"/>
      <c r="J16" s="300"/>
      <c r="K16" s="300"/>
      <c r="L16" s="300"/>
      <c r="M16" s="300"/>
      <c r="N16" s="300"/>
      <c r="O16" s="300"/>
      <c r="P16" s="332">
        <f>SUM(D16:O16)</f>
        <v>0</v>
      </c>
      <c r="R16" s="64"/>
    </row>
    <row r="17" spans="2:18" ht="14.85" customHeight="1" thickBot="1">
      <c r="B17" s="245"/>
      <c r="C17" s="111" t="s">
        <v>75</v>
      </c>
      <c r="D17" s="587" t="e">
        <f>D16/ÜLDANDMED!D26</f>
        <v>#DIV/0!</v>
      </c>
      <c r="E17" s="587" t="e">
        <f>E16/ÜLDANDMED!E26</f>
        <v>#DIV/0!</v>
      </c>
      <c r="F17" s="587" t="e">
        <f>F16/ÜLDANDMED!F26</f>
        <v>#DIV/0!</v>
      </c>
      <c r="G17" s="587" t="e">
        <f>G16/ÜLDANDMED!G26</f>
        <v>#DIV/0!</v>
      </c>
      <c r="H17" s="587" t="e">
        <f>H16/ÜLDANDMED!H26</f>
        <v>#DIV/0!</v>
      </c>
      <c r="I17" s="587" t="e">
        <f>I16/ÜLDANDMED!I26</f>
        <v>#DIV/0!</v>
      </c>
      <c r="J17" s="587" t="e">
        <f>J16/ÜLDANDMED!J26</f>
        <v>#DIV/0!</v>
      </c>
      <c r="K17" s="587" t="e">
        <f>K16/ÜLDANDMED!K26</f>
        <v>#DIV/0!</v>
      </c>
      <c r="L17" s="587" t="e">
        <f>L16/ÜLDANDMED!L26</f>
        <v>#DIV/0!</v>
      </c>
      <c r="M17" s="587" t="e">
        <f>M16/ÜLDANDMED!M26</f>
        <v>#DIV/0!</v>
      </c>
      <c r="N17" s="587" t="e">
        <f>N16/ÜLDANDMED!N26</f>
        <v>#DIV/0!</v>
      </c>
      <c r="O17" s="587" t="e">
        <f>O16/ÜLDANDMED!O26</f>
        <v>#DIV/0!</v>
      </c>
      <c r="P17" s="337" t="e">
        <f>P16/ööbimised_2024</f>
        <v>#DIV/0!</v>
      </c>
    </row>
    <row r="18" spans="2:18" ht="14.85" customHeight="1">
      <c r="B18" s="255">
        <f>ÜLDANDMED!E14</f>
        <v>2025</v>
      </c>
      <c r="C18" s="256" t="s">
        <v>74</v>
      </c>
      <c r="D18" s="300"/>
      <c r="E18" s="300"/>
      <c r="F18" s="300"/>
      <c r="G18" s="300"/>
      <c r="H18" s="300"/>
      <c r="I18" s="299"/>
      <c r="J18" s="300"/>
      <c r="K18" s="300"/>
      <c r="L18" s="300"/>
      <c r="M18" s="299"/>
      <c r="N18" s="300"/>
      <c r="O18" s="300"/>
      <c r="P18" s="332">
        <f t="shared" ref="P18:P28" si="0">SUM(D18:O18)</f>
        <v>0</v>
      </c>
      <c r="R18" s="64"/>
    </row>
    <row r="19" spans="2:18" ht="14.85" customHeight="1" thickBot="1">
      <c r="B19" s="245"/>
      <c r="C19" s="111" t="s">
        <v>75</v>
      </c>
      <c r="D19" s="588" t="e">
        <f>D18/ÜLDANDMED!D29</f>
        <v>#DIV/0!</v>
      </c>
      <c r="E19" s="588" t="e">
        <f>E18/ÜLDANDMED!E29</f>
        <v>#DIV/0!</v>
      </c>
      <c r="F19" s="588" t="e">
        <f>F18/ÜLDANDMED!F29</f>
        <v>#DIV/0!</v>
      </c>
      <c r="G19" s="588" t="e">
        <f>G18/ÜLDANDMED!G29</f>
        <v>#DIV/0!</v>
      </c>
      <c r="H19" s="588" t="e">
        <f>H18/ÜLDANDMED!H29</f>
        <v>#DIV/0!</v>
      </c>
      <c r="I19" s="588" t="e">
        <f>I18/ÜLDANDMED!I29</f>
        <v>#DIV/0!</v>
      </c>
      <c r="J19" s="588" t="e">
        <f>J18/ÜLDANDMED!J29</f>
        <v>#DIV/0!</v>
      </c>
      <c r="K19" s="588" t="e">
        <f>K18/ÜLDANDMED!K29</f>
        <v>#DIV/0!</v>
      </c>
      <c r="L19" s="588" t="e">
        <f>L18/ÜLDANDMED!L29</f>
        <v>#DIV/0!</v>
      </c>
      <c r="M19" s="588" t="e">
        <f>M18/ÜLDANDMED!M29</f>
        <v>#DIV/0!</v>
      </c>
      <c r="N19" s="588" t="e">
        <f>N18/ÜLDANDMED!N29</f>
        <v>#DIV/0!</v>
      </c>
      <c r="O19" s="588" t="e">
        <f>O18/ÜLDANDMED!O29</f>
        <v>#DIV/0!</v>
      </c>
      <c r="P19" s="334" t="e">
        <f>P18/ööbimised_2025</f>
        <v>#DIV/0!</v>
      </c>
    </row>
    <row r="20" spans="2:18" ht="14.85" customHeight="1">
      <c r="B20" s="255">
        <f>ÜLDANDMED!F14</f>
        <v>2026</v>
      </c>
      <c r="C20" s="256" t="s">
        <v>74</v>
      </c>
      <c r="D20" s="299"/>
      <c r="E20" s="299"/>
      <c r="F20" s="299"/>
      <c r="G20" s="299"/>
      <c r="H20" s="299"/>
      <c r="I20" s="299"/>
      <c r="J20" s="299"/>
      <c r="K20" s="299"/>
      <c r="L20" s="299"/>
      <c r="M20" s="299"/>
      <c r="N20" s="299"/>
      <c r="O20" s="299"/>
      <c r="P20" s="338">
        <f t="shared" si="0"/>
        <v>0</v>
      </c>
      <c r="R20" s="64"/>
    </row>
    <row r="21" spans="2:18" ht="14.85" customHeight="1" thickBot="1">
      <c r="B21" s="245"/>
      <c r="C21" s="111" t="s">
        <v>75</v>
      </c>
      <c r="D21" s="587" t="e">
        <f>D20/ÜLDANDMED!D32</f>
        <v>#DIV/0!</v>
      </c>
      <c r="E21" s="587" t="e">
        <f>E20/ÜLDANDMED!E32</f>
        <v>#DIV/0!</v>
      </c>
      <c r="F21" s="587" t="e">
        <f>F20/ÜLDANDMED!F32</f>
        <v>#DIV/0!</v>
      </c>
      <c r="G21" s="587" t="e">
        <f>G20/ÜLDANDMED!G32</f>
        <v>#DIV/0!</v>
      </c>
      <c r="H21" s="587" t="e">
        <f>H20/ÜLDANDMED!H32</f>
        <v>#DIV/0!</v>
      </c>
      <c r="I21" s="587" t="e">
        <f>I20/ÜLDANDMED!I32</f>
        <v>#DIV/0!</v>
      </c>
      <c r="J21" s="587" t="e">
        <f>J20/ÜLDANDMED!J32</f>
        <v>#DIV/0!</v>
      </c>
      <c r="K21" s="587" t="e">
        <f>K20/ÜLDANDMED!K32</f>
        <v>#DIV/0!</v>
      </c>
      <c r="L21" s="587" t="e">
        <f>L20/ÜLDANDMED!L32</f>
        <v>#DIV/0!</v>
      </c>
      <c r="M21" s="587" t="e">
        <f>M20/ÜLDANDMED!M32</f>
        <v>#DIV/0!</v>
      </c>
      <c r="N21" s="587" t="e">
        <f>N20/ÜLDANDMED!N32</f>
        <v>#DIV/0!</v>
      </c>
      <c r="O21" s="587" t="e">
        <f>O20/ÜLDANDMED!O32</f>
        <v>#DIV/0!</v>
      </c>
      <c r="P21" s="337" t="e">
        <f>P20/ööbimised_2026</f>
        <v>#DIV/0!</v>
      </c>
    </row>
    <row r="22" spans="2:18" ht="14.85" customHeight="1">
      <c r="B22" s="255">
        <f>ÜLDANDMED!G14</f>
        <v>2027</v>
      </c>
      <c r="C22" s="256" t="s">
        <v>74</v>
      </c>
      <c r="D22" s="300"/>
      <c r="E22" s="299"/>
      <c r="F22" s="300"/>
      <c r="G22" s="300"/>
      <c r="H22" s="300"/>
      <c r="I22" s="299"/>
      <c r="J22" s="300"/>
      <c r="K22" s="300"/>
      <c r="L22" s="300"/>
      <c r="M22" s="299"/>
      <c r="N22" s="300"/>
      <c r="O22" s="300"/>
      <c r="P22" s="332">
        <f t="shared" si="0"/>
        <v>0</v>
      </c>
      <c r="R22" s="64"/>
    </row>
    <row r="23" spans="2:18" ht="14.85" customHeight="1" thickBot="1">
      <c r="B23" s="245"/>
      <c r="C23" s="111" t="s">
        <v>75</v>
      </c>
      <c r="D23" s="588" t="e">
        <f>D22/ÜLDANDMED!D35</f>
        <v>#DIV/0!</v>
      </c>
      <c r="E23" s="588" t="e">
        <f>E22/ÜLDANDMED!E35</f>
        <v>#DIV/0!</v>
      </c>
      <c r="F23" s="588" t="e">
        <f>F22/ÜLDANDMED!F35</f>
        <v>#DIV/0!</v>
      </c>
      <c r="G23" s="588" t="e">
        <f>G22/ÜLDANDMED!G35</f>
        <v>#DIV/0!</v>
      </c>
      <c r="H23" s="588" t="e">
        <f>H22/ÜLDANDMED!H35</f>
        <v>#DIV/0!</v>
      </c>
      <c r="I23" s="588" t="e">
        <f>I22/ÜLDANDMED!I35</f>
        <v>#DIV/0!</v>
      </c>
      <c r="J23" s="588" t="e">
        <f>J22/ÜLDANDMED!J35</f>
        <v>#DIV/0!</v>
      </c>
      <c r="K23" s="588" t="e">
        <f>K22/ÜLDANDMED!K35</f>
        <v>#DIV/0!</v>
      </c>
      <c r="L23" s="588" t="e">
        <f>L22/ÜLDANDMED!L35</f>
        <v>#DIV/0!</v>
      </c>
      <c r="M23" s="588" t="e">
        <f>M22/ÜLDANDMED!M35</f>
        <v>#DIV/0!</v>
      </c>
      <c r="N23" s="588" t="e">
        <f>N22/ÜLDANDMED!N35</f>
        <v>#DIV/0!</v>
      </c>
      <c r="O23" s="588" t="e">
        <f>O22/ÜLDANDMED!O35</f>
        <v>#DIV/0!</v>
      </c>
      <c r="P23" s="334" t="e">
        <f>P22/ööbimised_2027</f>
        <v>#DIV/0!</v>
      </c>
    </row>
    <row r="24" spans="2:18" ht="14.85" customHeight="1">
      <c r="B24" s="255">
        <f>ÜLDANDMED!H14</f>
        <v>2028</v>
      </c>
      <c r="C24" s="256" t="s">
        <v>74</v>
      </c>
      <c r="D24" s="299"/>
      <c r="E24" s="299"/>
      <c r="F24" s="299"/>
      <c r="G24" s="299"/>
      <c r="H24" s="299"/>
      <c r="I24" s="299"/>
      <c r="J24" s="299"/>
      <c r="K24" s="299"/>
      <c r="L24" s="299"/>
      <c r="M24" s="299"/>
      <c r="N24" s="299"/>
      <c r="O24" s="299"/>
      <c r="P24" s="338">
        <f t="shared" si="0"/>
        <v>0</v>
      </c>
      <c r="R24" s="64"/>
    </row>
    <row r="25" spans="2:18" ht="14.85" customHeight="1" thickBot="1">
      <c r="B25" s="245"/>
      <c r="C25" s="111" t="s">
        <v>75</v>
      </c>
      <c r="D25" s="587" t="e">
        <f>D24/ÜLDANDMED!D38</f>
        <v>#DIV/0!</v>
      </c>
      <c r="E25" s="587" t="e">
        <f>E24/ÜLDANDMED!E38</f>
        <v>#DIV/0!</v>
      </c>
      <c r="F25" s="587" t="e">
        <f>F24/ÜLDANDMED!F38</f>
        <v>#DIV/0!</v>
      </c>
      <c r="G25" s="587" t="e">
        <f>G24/ÜLDANDMED!G38</f>
        <v>#DIV/0!</v>
      </c>
      <c r="H25" s="587" t="e">
        <f>H24/ÜLDANDMED!H38</f>
        <v>#DIV/0!</v>
      </c>
      <c r="I25" s="587" t="e">
        <f>I24/ÜLDANDMED!I38</f>
        <v>#DIV/0!</v>
      </c>
      <c r="J25" s="587" t="e">
        <f>J24/ÜLDANDMED!J38</f>
        <v>#DIV/0!</v>
      </c>
      <c r="K25" s="587" t="e">
        <f>K24/ÜLDANDMED!K38</f>
        <v>#DIV/0!</v>
      </c>
      <c r="L25" s="587" t="e">
        <f>L24/ÜLDANDMED!L38</f>
        <v>#DIV/0!</v>
      </c>
      <c r="M25" s="587" t="e">
        <f>M24/ÜLDANDMED!M38</f>
        <v>#DIV/0!</v>
      </c>
      <c r="N25" s="587" t="e">
        <f>N24/ÜLDANDMED!N38</f>
        <v>#DIV/0!</v>
      </c>
      <c r="O25" s="587" t="e">
        <f>O24/ÜLDANDMED!O38</f>
        <v>#DIV/0!</v>
      </c>
      <c r="P25" s="337" t="e">
        <f>P24/ööbimised_2028</f>
        <v>#DIV/0!</v>
      </c>
    </row>
    <row r="26" spans="2:18" ht="14.85" customHeight="1">
      <c r="B26" s="255">
        <f>ÜLDANDMED!I14</f>
        <v>2029</v>
      </c>
      <c r="C26" s="256" t="s">
        <v>74</v>
      </c>
      <c r="D26" s="300"/>
      <c r="E26" s="299"/>
      <c r="F26" s="300"/>
      <c r="G26" s="300"/>
      <c r="H26" s="300"/>
      <c r="I26" s="299"/>
      <c r="J26" s="300"/>
      <c r="K26" s="300"/>
      <c r="L26" s="300"/>
      <c r="M26" s="299"/>
      <c r="N26" s="300"/>
      <c r="O26" s="300"/>
      <c r="P26" s="332">
        <f t="shared" si="0"/>
        <v>0</v>
      </c>
      <c r="R26" s="64"/>
    </row>
    <row r="27" spans="2:18" ht="14.85" customHeight="1" thickBot="1">
      <c r="B27" s="245"/>
      <c r="C27" s="111" t="s">
        <v>75</v>
      </c>
      <c r="D27" s="588" t="e">
        <f>D26/ÜLDANDMED!D41</f>
        <v>#DIV/0!</v>
      </c>
      <c r="E27" s="588" t="e">
        <f>E26/ÜLDANDMED!E41</f>
        <v>#DIV/0!</v>
      </c>
      <c r="F27" s="588" t="e">
        <f>F26/ÜLDANDMED!F41</f>
        <v>#DIV/0!</v>
      </c>
      <c r="G27" s="588" t="e">
        <f>G26/ÜLDANDMED!G41</f>
        <v>#DIV/0!</v>
      </c>
      <c r="H27" s="588" t="e">
        <f>H26/ÜLDANDMED!H41</f>
        <v>#DIV/0!</v>
      </c>
      <c r="I27" s="588" t="e">
        <f>I26/ÜLDANDMED!I41</f>
        <v>#DIV/0!</v>
      </c>
      <c r="J27" s="588" t="e">
        <f>J26/ÜLDANDMED!J41</f>
        <v>#DIV/0!</v>
      </c>
      <c r="K27" s="588" t="e">
        <f>K26/ÜLDANDMED!K41</f>
        <v>#DIV/0!</v>
      </c>
      <c r="L27" s="588" t="e">
        <f>L26/ÜLDANDMED!L41</f>
        <v>#DIV/0!</v>
      </c>
      <c r="M27" s="588" t="e">
        <f>M26/ÜLDANDMED!M41</f>
        <v>#DIV/0!</v>
      </c>
      <c r="N27" s="588" t="e">
        <f>N26/ÜLDANDMED!N41</f>
        <v>#DIV/0!</v>
      </c>
      <c r="O27" s="588" t="e">
        <f>O26/ÜLDANDMED!O41</f>
        <v>#DIV/0!</v>
      </c>
      <c r="P27" s="334" t="e">
        <f>P26/ööbimised_2029</f>
        <v>#DIV/0!</v>
      </c>
    </row>
    <row r="28" spans="2:18" ht="14.85" customHeight="1">
      <c r="B28" s="255">
        <f>ÜLDANDMED!J14</f>
        <v>2030</v>
      </c>
      <c r="C28" s="256" t="s">
        <v>74</v>
      </c>
      <c r="D28" s="299"/>
      <c r="E28" s="299"/>
      <c r="F28" s="299"/>
      <c r="G28" s="299"/>
      <c r="H28" s="299"/>
      <c r="I28" s="299"/>
      <c r="J28" s="299"/>
      <c r="K28" s="299"/>
      <c r="L28" s="299"/>
      <c r="M28" s="299"/>
      <c r="N28" s="299"/>
      <c r="O28" s="299"/>
      <c r="P28" s="338">
        <f t="shared" si="0"/>
        <v>0</v>
      </c>
      <c r="R28" s="64"/>
    </row>
    <row r="29" spans="2:18" ht="14.85" customHeight="1" thickBot="1">
      <c r="B29" s="257"/>
      <c r="C29" s="111" t="s">
        <v>75</v>
      </c>
      <c r="D29" s="587" t="e">
        <f>D28/ELEKTER!D29</f>
        <v>#DIV/0!</v>
      </c>
      <c r="E29" s="587" t="e">
        <f>E28/ELEKTER!E29</f>
        <v>#DIV/0!</v>
      </c>
      <c r="F29" s="587" t="e">
        <f>F28/ELEKTER!F29</f>
        <v>#DIV/0!</v>
      </c>
      <c r="G29" s="587" t="e">
        <f>G28/ELEKTER!G29</f>
        <v>#DIV/0!</v>
      </c>
      <c r="H29" s="587" t="e">
        <f>H28/ELEKTER!H29</f>
        <v>#DIV/0!</v>
      </c>
      <c r="I29" s="587" t="e">
        <f>I28/ELEKTER!I29</f>
        <v>#DIV/0!</v>
      </c>
      <c r="J29" s="587" t="e">
        <f>J28/ELEKTER!J29</f>
        <v>#DIV/0!</v>
      </c>
      <c r="K29" s="587" t="e">
        <f>K28/ELEKTER!K29</f>
        <v>#DIV/0!</v>
      </c>
      <c r="L29" s="587" t="e">
        <f>L28/ELEKTER!L29</f>
        <v>#DIV/0!</v>
      </c>
      <c r="M29" s="587" t="e">
        <f>M28/ELEKTER!M29</f>
        <v>#DIV/0!</v>
      </c>
      <c r="N29" s="587" t="e">
        <f>N28/ELEKTER!N29</f>
        <v>#DIV/0!</v>
      </c>
      <c r="O29" s="587" t="e">
        <f>O28/ELEKTER!O29</f>
        <v>#DIV/0!</v>
      </c>
      <c r="P29" s="334" t="e">
        <f>P28/ööbimised_2030</f>
        <v>#DIV/0!</v>
      </c>
    </row>
    <row r="31" spans="2:18" ht="14.85" customHeight="1">
      <c r="C31" s="64"/>
    </row>
  </sheetData>
  <mergeCells count="4">
    <mergeCell ref="B9:P9"/>
    <mergeCell ref="B11:C11"/>
    <mergeCell ref="B3:P3"/>
    <mergeCell ref="B4:P4"/>
  </mergeCells>
  <pageMargins left="0.70866141732283472" right="0.70866141732283472" top="0.74803149606299213" bottom="0.74803149606299213" header="0.31496062992125984" footer="0.31496062992125984"/>
  <pageSetup paperSize="9" scale="45" fitToHeight="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1D4EB"/>
    <pageSetUpPr fitToPage="1"/>
  </sheetPr>
  <dimension ref="A1:P78"/>
  <sheetViews>
    <sheetView showGridLines="0" zoomScale="90" zoomScaleNormal="90" workbookViewId="0">
      <pane xSplit="1" ySplit="2" topLeftCell="B3" activePane="bottomRight" state="frozen"/>
      <selection pane="bottomRight" activeCell="I17" sqref="I17"/>
      <selection pane="bottomLeft" activeCell="N14" sqref="N14"/>
      <selection pane="topRight" activeCell="N14" sqref="N14"/>
    </sheetView>
  </sheetViews>
  <sheetFormatPr defaultColWidth="9.140625" defaultRowHeight="15" customHeight="1"/>
  <cols>
    <col min="1" max="1" width="2.5703125" style="1" customWidth="1"/>
    <col min="2" max="2" width="7.5703125" style="1" customWidth="1"/>
    <col min="3" max="3" width="28.42578125" style="1" customWidth="1"/>
    <col min="4" max="4" width="15.5703125" style="4" customWidth="1"/>
    <col min="5" max="16384" width="9.140625" style="1"/>
  </cols>
  <sheetData>
    <row r="1" spans="1:16" ht="15" customHeight="1">
      <c r="B1" s="2"/>
    </row>
    <row r="2" spans="1:16" ht="15" customHeight="1">
      <c r="A2" s="230"/>
      <c r="B2" s="94" t="s">
        <v>76</v>
      </c>
    </row>
    <row r="3" spans="1:16" ht="59.45" customHeight="1">
      <c r="A3" s="230"/>
      <c r="B3" s="642" t="s">
        <v>77</v>
      </c>
      <c r="C3" s="642"/>
      <c r="D3" s="642"/>
      <c r="E3" s="642"/>
      <c r="F3" s="642"/>
      <c r="G3" s="642"/>
      <c r="H3" s="642"/>
      <c r="I3" s="642"/>
      <c r="J3" s="642"/>
      <c r="K3" s="642"/>
      <c r="L3" s="642"/>
      <c r="M3" s="642"/>
      <c r="N3" s="642"/>
      <c r="O3" s="642"/>
      <c r="P3" s="642"/>
    </row>
    <row r="4" spans="1:16" ht="15" customHeight="1">
      <c r="A4" s="230"/>
      <c r="B4" s="231"/>
      <c r="C4" s="232" t="s">
        <v>78</v>
      </c>
      <c r="D4" s="232">
        <v>500</v>
      </c>
      <c r="E4" s="233" t="s">
        <v>79</v>
      </c>
      <c r="G4" s="170"/>
      <c r="H4" s="170"/>
      <c r="I4" s="170"/>
    </row>
    <row r="5" spans="1:16" ht="15" customHeight="1">
      <c r="A5" s="230"/>
      <c r="B5" s="231"/>
      <c r="C5" s="234" t="s">
        <v>80</v>
      </c>
      <c r="D5" s="234">
        <f>'KHG eriheitetegurid'!D372</f>
        <v>5</v>
      </c>
      <c r="E5" s="182" t="s">
        <v>81</v>
      </c>
      <c r="G5" s="170"/>
      <c r="H5" s="170"/>
      <c r="I5" s="170"/>
    </row>
    <row r="6" spans="1:16" ht="15" customHeight="1">
      <c r="A6" s="230"/>
      <c r="B6" s="170"/>
      <c r="C6" s="234" t="s">
        <v>82</v>
      </c>
      <c r="D6" s="235">
        <f>'KHG eriheitetegurid'!D373</f>
        <v>2.7315789473684209</v>
      </c>
      <c r="E6" s="182" t="s">
        <v>81</v>
      </c>
      <c r="G6" s="170"/>
      <c r="H6" s="170"/>
      <c r="I6" s="170"/>
    </row>
    <row r="7" spans="1:16" ht="15" customHeight="1">
      <c r="A7" s="230"/>
      <c r="B7" s="170"/>
      <c r="C7" s="234" t="s">
        <v>83</v>
      </c>
      <c r="D7" s="590">
        <f>'KHG eriheitetegurid'!D374</f>
        <v>1.2476777777777779</v>
      </c>
      <c r="E7" s="589" t="s">
        <v>81</v>
      </c>
      <c r="G7" s="170"/>
      <c r="H7" s="170"/>
      <c r="I7" s="170"/>
    </row>
    <row r="8" spans="1:16" ht="15" customHeight="1">
      <c r="A8" s="230"/>
      <c r="B8" s="170"/>
      <c r="C8" s="234" t="s">
        <v>84</v>
      </c>
      <c r="D8" s="235">
        <f>'KHG eriheitetegurid'!D375</f>
        <v>3.8021979759645794</v>
      </c>
      <c r="E8" s="182" t="s">
        <v>81</v>
      </c>
      <c r="G8" s="170"/>
      <c r="H8" s="170"/>
      <c r="I8" s="170"/>
    </row>
    <row r="9" spans="1:16" customFormat="1" ht="15" customHeight="1">
      <c r="A9" s="593"/>
      <c r="B9" s="595" t="s">
        <v>85</v>
      </c>
      <c r="C9" s="594"/>
      <c r="D9" s="594"/>
      <c r="E9" s="594"/>
      <c r="F9" s="594"/>
      <c r="G9" s="594"/>
      <c r="H9" s="594"/>
      <c r="I9" s="594"/>
      <c r="J9" s="594"/>
      <c r="K9" s="594"/>
      <c r="L9" s="594"/>
      <c r="M9" s="594"/>
      <c r="N9" s="594"/>
    </row>
    <row r="10" spans="1:16" ht="15" customHeight="1">
      <c r="A10" s="230"/>
      <c r="B10" s="170"/>
      <c r="C10" s="236"/>
      <c r="D10" s="237"/>
      <c r="E10" s="170"/>
      <c r="G10" s="170"/>
      <c r="H10" s="170"/>
      <c r="I10" s="170"/>
    </row>
    <row r="11" spans="1:16" ht="15" customHeight="1">
      <c r="B11" s="643" t="s">
        <v>15</v>
      </c>
      <c r="C11" s="643"/>
    </row>
    <row r="12" spans="1:16" ht="15" customHeight="1">
      <c r="C12" s="298" t="s">
        <v>16</v>
      </c>
    </row>
    <row r="13" spans="1:16" ht="15" customHeight="1">
      <c r="C13" s="336" t="s">
        <v>17</v>
      </c>
    </row>
    <row r="14" spans="1:16" ht="15.75" thickBot="1"/>
    <row r="15" spans="1:16" ht="31.5" customHeight="1" thickBot="1">
      <c r="B15" s="128" t="s">
        <v>28</v>
      </c>
      <c r="C15" s="223" t="s">
        <v>52</v>
      </c>
      <c r="D15" s="106" t="s">
        <v>42</v>
      </c>
    </row>
    <row r="16" spans="1:16" ht="15" customHeight="1">
      <c r="B16" s="72">
        <f>ÜLDANDMED!D14</f>
        <v>2024</v>
      </c>
      <c r="C16" s="238" t="s">
        <v>86</v>
      </c>
      <c r="D16" s="301"/>
    </row>
    <row r="17" spans="2:6" ht="15" customHeight="1">
      <c r="B17" s="239"/>
      <c r="C17" s="240" t="s">
        <v>87</v>
      </c>
      <c r="D17" s="339">
        <f>D16*$D$4</f>
        <v>0</v>
      </c>
    </row>
    <row r="18" spans="2:6" ht="15" customHeight="1">
      <c r="B18" s="239"/>
      <c r="C18" s="241" t="s">
        <v>88</v>
      </c>
      <c r="D18" s="340">
        <f>D17*$D$5/1000</f>
        <v>0</v>
      </c>
      <c r="F18" s="163"/>
    </row>
    <row r="19" spans="2:6" ht="15" customHeight="1">
      <c r="B19" s="242"/>
      <c r="C19" s="243" t="s">
        <v>89</v>
      </c>
      <c r="D19" s="302"/>
      <c r="F19" s="163"/>
    </row>
    <row r="20" spans="2:6" ht="15" customHeight="1">
      <c r="B20" s="242"/>
      <c r="C20" s="244" t="s">
        <v>90</v>
      </c>
      <c r="D20" s="341">
        <f>D19*$D$6/1000</f>
        <v>0</v>
      </c>
      <c r="F20" s="163"/>
    </row>
    <row r="21" spans="2:6" ht="15" customHeight="1">
      <c r="B21" s="242"/>
      <c r="C21" s="243" t="s">
        <v>91</v>
      </c>
      <c r="D21" s="302"/>
      <c r="F21" s="163"/>
    </row>
    <row r="22" spans="2:6" ht="15" customHeight="1">
      <c r="B22" s="242"/>
      <c r="C22" s="244" t="s">
        <v>92</v>
      </c>
      <c r="D22" s="341">
        <f>D21*$D$7/1000</f>
        <v>0</v>
      </c>
      <c r="F22" s="163"/>
    </row>
    <row r="23" spans="2:6" ht="15" customHeight="1">
      <c r="B23" s="242"/>
      <c r="C23" s="243" t="s">
        <v>93</v>
      </c>
      <c r="D23" s="302"/>
      <c r="F23" s="163"/>
    </row>
    <row r="24" spans="2:6" ht="15" customHeight="1" thickBot="1">
      <c r="B24" s="242"/>
      <c r="C24" s="244" t="s">
        <v>94</v>
      </c>
      <c r="D24" s="341">
        <f>D23*$D$8/1000</f>
        <v>0</v>
      </c>
      <c r="F24" s="163"/>
    </row>
    <row r="25" spans="2:6" ht="15" customHeight="1">
      <c r="B25" s="72">
        <f>ÜLDANDMED!E14</f>
        <v>2025</v>
      </c>
      <c r="C25" s="238" t="s">
        <v>86</v>
      </c>
      <c r="D25" s="301"/>
    </row>
    <row r="26" spans="2:6" ht="15" customHeight="1">
      <c r="B26" s="239"/>
      <c r="C26" s="240" t="s">
        <v>87</v>
      </c>
      <c r="D26" s="339">
        <f>D25*$D$4</f>
        <v>0</v>
      </c>
    </row>
    <row r="27" spans="2:6" ht="15" customHeight="1">
      <c r="B27" s="239"/>
      <c r="C27" s="241" t="s">
        <v>88</v>
      </c>
      <c r="D27" s="342">
        <f>D26*$D$5/1000</f>
        <v>0</v>
      </c>
    </row>
    <row r="28" spans="2:6" ht="15" customHeight="1">
      <c r="B28" s="242"/>
      <c r="C28" s="243" t="s">
        <v>89</v>
      </c>
      <c r="D28" s="303"/>
    </row>
    <row r="29" spans="2:6" ht="15" customHeight="1">
      <c r="B29" s="242"/>
      <c r="C29" s="244" t="s">
        <v>90</v>
      </c>
      <c r="D29" s="343">
        <f>D28*$D$6/1000</f>
        <v>0</v>
      </c>
      <c r="F29" s="163"/>
    </row>
    <row r="30" spans="2:6" ht="15" customHeight="1">
      <c r="B30" s="242"/>
      <c r="C30" s="243" t="s">
        <v>91</v>
      </c>
      <c r="D30" s="302"/>
      <c r="F30" s="163"/>
    </row>
    <row r="31" spans="2:6" ht="15" customHeight="1">
      <c r="B31" s="242"/>
      <c r="C31" s="244" t="s">
        <v>92</v>
      </c>
      <c r="D31" s="343">
        <f>D30*$D$7/1000</f>
        <v>0</v>
      </c>
      <c r="F31" s="163"/>
    </row>
    <row r="32" spans="2:6" ht="15" customHeight="1">
      <c r="B32" s="242"/>
      <c r="C32" s="243" t="s">
        <v>93</v>
      </c>
      <c r="D32" s="303"/>
    </row>
    <row r="33" spans="2:6" ht="15" customHeight="1" thickBot="1">
      <c r="B33" s="242"/>
      <c r="C33" s="244" t="s">
        <v>94</v>
      </c>
      <c r="D33" s="341">
        <f>D32*$D$8/1000</f>
        <v>0</v>
      </c>
      <c r="F33" s="163"/>
    </row>
    <row r="34" spans="2:6" ht="15" customHeight="1">
      <c r="B34" s="72">
        <f>ÜLDANDMED!F14</f>
        <v>2026</v>
      </c>
      <c r="C34" s="238" t="s">
        <v>86</v>
      </c>
      <c r="D34" s="301"/>
    </row>
    <row r="35" spans="2:6" ht="15" customHeight="1">
      <c r="B35" s="239"/>
      <c r="C35" s="240" t="s">
        <v>87</v>
      </c>
      <c r="D35" s="339">
        <f>D34*$D$4</f>
        <v>0</v>
      </c>
    </row>
    <row r="36" spans="2:6" ht="15" customHeight="1">
      <c r="B36" s="239"/>
      <c r="C36" s="241" t="s">
        <v>88</v>
      </c>
      <c r="D36" s="342">
        <f>D35*$D$5/1000</f>
        <v>0</v>
      </c>
    </row>
    <row r="37" spans="2:6" ht="15" customHeight="1">
      <c r="B37" s="242"/>
      <c r="C37" s="243" t="s">
        <v>89</v>
      </c>
      <c r="D37" s="303"/>
    </row>
    <row r="38" spans="2:6" ht="15" customHeight="1">
      <c r="B38" s="242"/>
      <c r="C38" s="244" t="s">
        <v>90</v>
      </c>
      <c r="D38" s="343">
        <f>D37*$D$6/1000</f>
        <v>0</v>
      </c>
      <c r="F38" s="163"/>
    </row>
    <row r="39" spans="2:6" ht="15" customHeight="1">
      <c r="B39" s="242"/>
      <c r="C39" s="243" t="s">
        <v>91</v>
      </c>
      <c r="D39" s="302"/>
      <c r="F39" s="163"/>
    </row>
    <row r="40" spans="2:6" ht="15" customHeight="1">
      <c r="B40" s="242"/>
      <c r="C40" s="244" t="s">
        <v>92</v>
      </c>
      <c r="D40" s="343">
        <f>D39*$D$7/1000</f>
        <v>0</v>
      </c>
      <c r="F40" s="163"/>
    </row>
    <row r="41" spans="2:6" ht="15" customHeight="1">
      <c r="B41" s="242"/>
      <c r="C41" s="243" t="s">
        <v>93</v>
      </c>
      <c r="D41" s="303"/>
    </row>
    <row r="42" spans="2:6" ht="15" customHeight="1" thickBot="1">
      <c r="B42" s="242"/>
      <c r="C42" s="244" t="s">
        <v>94</v>
      </c>
      <c r="D42" s="341">
        <f>D41*$D$8/1000</f>
        <v>0</v>
      </c>
      <c r="F42" s="163"/>
    </row>
    <row r="43" spans="2:6" ht="15" customHeight="1">
      <c r="B43" s="72">
        <f>ÜLDANDMED!G14</f>
        <v>2027</v>
      </c>
      <c r="C43" s="238" t="s">
        <v>86</v>
      </c>
      <c r="D43" s="301"/>
    </row>
    <row r="44" spans="2:6" ht="15" customHeight="1">
      <c r="B44" s="239"/>
      <c r="C44" s="240" t="s">
        <v>87</v>
      </c>
      <c r="D44" s="339">
        <f>D43*$D$4</f>
        <v>0</v>
      </c>
    </row>
    <row r="45" spans="2:6" ht="15" customHeight="1">
      <c r="B45" s="239"/>
      <c r="C45" s="241" t="s">
        <v>88</v>
      </c>
      <c r="D45" s="342">
        <f>D44*$D$5/1000</f>
        <v>0</v>
      </c>
    </row>
    <row r="46" spans="2:6" ht="15" customHeight="1">
      <c r="B46" s="242"/>
      <c r="C46" s="243" t="s">
        <v>89</v>
      </c>
      <c r="D46" s="303"/>
    </row>
    <row r="47" spans="2:6" ht="15" customHeight="1">
      <c r="B47" s="242"/>
      <c r="C47" s="244" t="s">
        <v>90</v>
      </c>
      <c r="D47" s="343">
        <f>D46*$D$6/1000</f>
        <v>0</v>
      </c>
      <c r="F47" s="163"/>
    </row>
    <row r="48" spans="2:6" ht="15" customHeight="1">
      <c r="B48" s="242"/>
      <c r="C48" s="243" t="s">
        <v>91</v>
      </c>
      <c r="D48" s="302"/>
      <c r="F48" s="163"/>
    </row>
    <row r="49" spans="2:6" ht="15" customHeight="1">
      <c r="B49" s="242"/>
      <c r="C49" s="244" t="s">
        <v>92</v>
      </c>
      <c r="D49" s="343">
        <f>D48*$D$7/1000</f>
        <v>0</v>
      </c>
      <c r="F49" s="163"/>
    </row>
    <row r="50" spans="2:6" ht="15" customHeight="1">
      <c r="B50" s="242"/>
      <c r="C50" s="243" t="s">
        <v>93</v>
      </c>
      <c r="D50" s="303"/>
    </row>
    <row r="51" spans="2:6" ht="15" customHeight="1" thickBot="1">
      <c r="B51" s="242"/>
      <c r="C51" s="244" t="s">
        <v>94</v>
      </c>
      <c r="D51" s="341">
        <f>D50*$D$8/1000</f>
        <v>0</v>
      </c>
      <c r="F51" s="163"/>
    </row>
    <row r="52" spans="2:6" ht="15" customHeight="1">
      <c r="B52" s="72">
        <f>ÜLDANDMED!H14</f>
        <v>2028</v>
      </c>
      <c r="C52" s="238" t="s">
        <v>86</v>
      </c>
      <c r="D52" s="301"/>
    </row>
    <row r="53" spans="2:6" ht="15" customHeight="1">
      <c r="B53" s="242"/>
      <c r="C53" s="240" t="s">
        <v>87</v>
      </c>
      <c r="D53" s="339">
        <f>D52*$D$4</f>
        <v>0</v>
      </c>
    </row>
    <row r="54" spans="2:6" ht="15" customHeight="1">
      <c r="B54" s="242"/>
      <c r="C54" s="241" t="s">
        <v>88</v>
      </c>
      <c r="D54" s="342">
        <f>D53*$D$5/1000</f>
        <v>0</v>
      </c>
    </row>
    <row r="55" spans="2:6" ht="15" customHeight="1">
      <c r="B55" s="242"/>
      <c r="C55" s="243" t="s">
        <v>95</v>
      </c>
      <c r="D55" s="303"/>
    </row>
    <row r="56" spans="2:6" ht="15" customHeight="1">
      <c r="B56" s="242"/>
      <c r="C56" s="244" t="s">
        <v>90</v>
      </c>
      <c r="D56" s="343">
        <f>D55*$D$6/1000</f>
        <v>0</v>
      </c>
      <c r="F56" s="163"/>
    </row>
    <row r="57" spans="2:6" ht="15" customHeight="1">
      <c r="B57" s="242"/>
      <c r="C57" s="243" t="s">
        <v>91</v>
      </c>
      <c r="D57" s="302"/>
      <c r="F57" s="163"/>
    </row>
    <row r="58" spans="2:6" ht="15" customHeight="1">
      <c r="B58" s="242"/>
      <c r="C58" s="244" t="s">
        <v>92</v>
      </c>
      <c r="D58" s="343">
        <f>D57*$D$7/1000</f>
        <v>0</v>
      </c>
      <c r="F58" s="163"/>
    </row>
    <row r="59" spans="2:6" ht="15" customHeight="1">
      <c r="B59" s="242"/>
      <c r="C59" s="243" t="s">
        <v>93</v>
      </c>
      <c r="D59" s="303"/>
    </row>
    <row r="60" spans="2:6" ht="15" customHeight="1" thickBot="1">
      <c r="B60" s="242"/>
      <c r="C60" s="244" t="s">
        <v>94</v>
      </c>
      <c r="D60" s="341">
        <f>D59*$D$8/1000</f>
        <v>0</v>
      </c>
      <c r="F60" s="163"/>
    </row>
    <row r="61" spans="2:6" ht="15" customHeight="1">
      <c r="B61" s="72">
        <f>ÜLDANDMED!I14</f>
        <v>2029</v>
      </c>
      <c r="C61" s="238" t="s">
        <v>86</v>
      </c>
      <c r="D61" s="301"/>
    </row>
    <row r="62" spans="2:6" ht="15" customHeight="1">
      <c r="B62" s="242"/>
      <c r="C62" s="240" t="s">
        <v>87</v>
      </c>
      <c r="D62" s="339">
        <f>D61*$D$4</f>
        <v>0</v>
      </c>
    </row>
    <row r="63" spans="2:6" ht="15" customHeight="1">
      <c r="B63" s="242"/>
      <c r="C63" s="241" t="s">
        <v>88</v>
      </c>
      <c r="D63" s="342">
        <f>D62*$D$5/1000</f>
        <v>0</v>
      </c>
    </row>
    <row r="64" spans="2:6" ht="15" customHeight="1">
      <c r="B64" s="245"/>
      <c r="C64" s="243" t="s">
        <v>89</v>
      </c>
      <c r="D64" s="303"/>
    </row>
    <row r="65" spans="2:6" ht="15" customHeight="1">
      <c r="B65" s="242"/>
      <c r="C65" s="244" t="s">
        <v>90</v>
      </c>
      <c r="D65" s="343">
        <f>D64*$D$6/1000</f>
        <v>0</v>
      </c>
      <c r="F65" s="163"/>
    </row>
    <row r="66" spans="2:6" ht="15" customHeight="1">
      <c r="B66" s="242"/>
      <c r="C66" s="243" t="s">
        <v>91</v>
      </c>
      <c r="D66" s="302"/>
      <c r="F66" s="163"/>
    </row>
    <row r="67" spans="2:6" ht="15" customHeight="1">
      <c r="B67" s="242"/>
      <c r="C67" s="244" t="s">
        <v>92</v>
      </c>
      <c r="D67" s="343">
        <f>D66*$D$7/1000</f>
        <v>0</v>
      </c>
      <c r="F67" s="163"/>
    </row>
    <row r="68" spans="2:6" ht="15" customHeight="1">
      <c r="B68" s="245"/>
      <c r="C68" s="243" t="s">
        <v>93</v>
      </c>
      <c r="D68" s="303"/>
    </row>
    <row r="69" spans="2:6" ht="15" customHeight="1" thickBot="1">
      <c r="B69" s="242"/>
      <c r="C69" s="244" t="s">
        <v>94</v>
      </c>
      <c r="D69" s="341">
        <f>D68*$D$8/1000</f>
        <v>0</v>
      </c>
      <c r="F69" s="163"/>
    </row>
    <row r="70" spans="2:6" ht="15" customHeight="1">
      <c r="B70" s="72">
        <f>ÜLDANDMED!J14</f>
        <v>2030</v>
      </c>
      <c r="C70" s="238" t="s">
        <v>86</v>
      </c>
      <c r="D70" s="301"/>
    </row>
    <row r="71" spans="2:6" ht="15" customHeight="1">
      <c r="B71" s="242"/>
      <c r="C71" s="240" t="s">
        <v>87</v>
      </c>
      <c r="D71" s="339">
        <f>D70*$D$4</f>
        <v>0</v>
      </c>
    </row>
    <row r="72" spans="2:6" ht="15" customHeight="1">
      <c r="B72" s="242"/>
      <c r="C72" s="246" t="s">
        <v>88</v>
      </c>
      <c r="D72" s="343">
        <f>D71*$D$5/1000</f>
        <v>0</v>
      </c>
    </row>
    <row r="73" spans="2:6" ht="15" customHeight="1">
      <c r="B73" s="242"/>
      <c r="C73" s="243" t="s">
        <v>89</v>
      </c>
      <c r="D73" s="302"/>
    </row>
    <row r="74" spans="2:6" ht="15" customHeight="1">
      <c r="B74" s="242"/>
      <c r="C74" s="244" t="s">
        <v>90</v>
      </c>
      <c r="D74" s="341">
        <f>D73*$D$6/1000</f>
        <v>0</v>
      </c>
      <c r="F74" s="163"/>
    </row>
    <row r="75" spans="2:6" ht="15" customHeight="1">
      <c r="B75" s="242"/>
      <c r="C75" s="243" t="s">
        <v>91</v>
      </c>
      <c r="D75" s="302"/>
      <c r="F75" s="163"/>
    </row>
    <row r="76" spans="2:6" ht="15" customHeight="1">
      <c r="B76" s="242"/>
      <c r="C76" s="244" t="s">
        <v>92</v>
      </c>
      <c r="D76" s="341">
        <f>D75*$D$7/1000</f>
        <v>0</v>
      </c>
      <c r="F76" s="163"/>
    </row>
    <row r="77" spans="2:6" ht="15" customHeight="1">
      <c r="B77" s="242"/>
      <c r="C77" s="120" t="s">
        <v>93</v>
      </c>
      <c r="D77" s="591"/>
    </row>
    <row r="78" spans="2:6" ht="15" customHeight="1" thickBot="1">
      <c r="B78" s="247"/>
      <c r="C78" s="592" t="s">
        <v>94</v>
      </c>
      <c r="D78" s="368">
        <f>D77*$D$8/1000</f>
        <v>0</v>
      </c>
      <c r="F78" s="163"/>
    </row>
  </sheetData>
  <mergeCells count="2">
    <mergeCell ref="B11:C11"/>
    <mergeCell ref="B3:P3"/>
  </mergeCells>
  <pageMargins left="0.70866141732283472" right="0.70866141732283472" top="0.74803149606299213" bottom="0.74803149606299213" header="0.31496062992125984" footer="0.31496062992125984"/>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A6279"/>
    <pageSetUpPr fitToPage="1"/>
  </sheetPr>
  <dimension ref="A2:U200"/>
  <sheetViews>
    <sheetView showGridLines="0" showWhiteSpace="0" zoomScale="90" zoomScaleNormal="90" workbookViewId="0">
      <pane xSplit="1" ySplit="2" topLeftCell="C6" activePane="bottomRight" state="frozen"/>
      <selection pane="bottomRight" activeCell="D29" sqref="D29:O29"/>
      <selection pane="bottomLeft" activeCell="N14" sqref="N14"/>
      <selection pane="topRight" activeCell="N14" sqref="N14"/>
    </sheetView>
  </sheetViews>
  <sheetFormatPr defaultColWidth="9.140625" defaultRowHeight="15"/>
  <cols>
    <col min="1" max="1" width="2.5703125" style="1" customWidth="1"/>
    <col min="2" max="2" width="7.5703125" style="4" customWidth="1"/>
    <col min="3" max="3" width="58.140625" style="4" customWidth="1"/>
    <col min="4" max="15" width="10.5703125" style="4" customWidth="1"/>
    <col min="16" max="16" width="15.5703125" style="4" customWidth="1"/>
    <col min="17" max="16384" width="9.140625" style="1"/>
  </cols>
  <sheetData>
    <row r="2" spans="1:17" ht="18.600000000000001" customHeight="1">
      <c r="B2" s="181" t="s">
        <v>96</v>
      </c>
    </row>
    <row r="3" spans="1:17" ht="49.5" customHeight="1">
      <c r="B3" s="648" t="s">
        <v>97</v>
      </c>
      <c r="C3" s="648"/>
      <c r="D3" s="648"/>
      <c r="E3" s="648"/>
      <c r="F3" s="648"/>
      <c r="G3" s="648"/>
      <c r="H3" s="648"/>
      <c r="I3" s="648"/>
      <c r="J3" s="648"/>
      <c r="K3" s="648"/>
      <c r="L3" s="648"/>
      <c r="M3" s="648"/>
      <c r="N3" s="648"/>
      <c r="O3" s="648"/>
      <c r="P3" s="648"/>
    </row>
    <row r="4" spans="1:17" ht="15" customHeight="1">
      <c r="A4" s="19"/>
      <c r="B4" s="465"/>
      <c r="C4" s="193" t="s">
        <v>98</v>
      </c>
      <c r="D4" s="194" t="s">
        <v>99</v>
      </c>
      <c r="E4" s="195">
        <v>0.2</v>
      </c>
      <c r="F4" s="196" t="s">
        <v>100</v>
      </c>
      <c r="G4" s="195">
        <f>E4*1000</f>
        <v>200</v>
      </c>
      <c r="H4" s="196" t="s">
        <v>101</v>
      </c>
      <c r="I4" s="6"/>
      <c r="J4" s="6"/>
      <c r="K4" s="6"/>
      <c r="L4" s="6"/>
      <c r="M4" s="6"/>
      <c r="N4" s="6"/>
      <c r="O4" s="6"/>
      <c r="P4" s="6"/>
    </row>
    <row r="5" spans="1:17" ht="15" customHeight="1">
      <c r="A5" s="19"/>
      <c r="B5" s="465"/>
      <c r="C5" s="197" t="s">
        <v>102</v>
      </c>
      <c r="D5" s="198" t="s">
        <v>99</v>
      </c>
      <c r="E5" s="199">
        <v>0.16</v>
      </c>
      <c r="F5" s="200" t="s">
        <v>100</v>
      </c>
      <c r="G5" s="199">
        <f t="shared" ref="G5:G8" si="0">E5*1000</f>
        <v>160</v>
      </c>
      <c r="H5" s="200" t="s">
        <v>101</v>
      </c>
      <c r="I5" s="6"/>
      <c r="J5" s="6"/>
      <c r="K5" s="6"/>
      <c r="L5" s="6"/>
      <c r="M5" s="6"/>
      <c r="N5" s="6"/>
      <c r="O5" s="6"/>
      <c r="P5" s="6"/>
    </row>
    <row r="6" spans="1:17" ht="15" customHeight="1">
      <c r="A6" s="19"/>
      <c r="B6" s="465"/>
      <c r="C6" s="197" t="s">
        <v>103</v>
      </c>
      <c r="D6" s="198" t="s">
        <v>99</v>
      </c>
      <c r="E6" s="199">
        <v>0.05</v>
      </c>
      <c r="F6" s="200" t="s">
        <v>100</v>
      </c>
      <c r="G6" s="199">
        <f>E6*1000</f>
        <v>50</v>
      </c>
      <c r="H6" s="200" t="s">
        <v>101</v>
      </c>
      <c r="I6" s="6"/>
      <c r="J6" s="6"/>
      <c r="K6" s="6"/>
      <c r="L6" s="6"/>
      <c r="M6" s="6"/>
      <c r="N6" s="6"/>
      <c r="O6" s="6"/>
      <c r="P6" s="6"/>
    </row>
    <row r="7" spans="1:17" ht="15" customHeight="1">
      <c r="A7" s="19"/>
      <c r="B7" s="465"/>
      <c r="C7" s="197" t="s">
        <v>104</v>
      </c>
      <c r="D7" s="198" t="s">
        <v>99</v>
      </c>
      <c r="E7" s="201">
        <v>0.05</v>
      </c>
      <c r="F7" s="200" t="s">
        <v>100</v>
      </c>
      <c r="G7" s="199">
        <f t="shared" si="0"/>
        <v>50</v>
      </c>
      <c r="H7" s="200" t="s">
        <v>101</v>
      </c>
      <c r="I7" s="6"/>
      <c r="J7" s="6"/>
      <c r="K7" s="6"/>
      <c r="L7" s="6"/>
      <c r="M7" s="6"/>
      <c r="N7" s="6"/>
      <c r="O7" s="6"/>
      <c r="P7" s="6"/>
    </row>
    <row r="8" spans="1:17" ht="15" customHeight="1">
      <c r="A8" s="19"/>
      <c r="B8" s="465"/>
      <c r="C8" s="200" t="s">
        <v>105</v>
      </c>
      <c r="D8" s="198" t="s">
        <v>99</v>
      </c>
      <c r="E8" s="199">
        <v>0.1</v>
      </c>
      <c r="F8" s="200" t="s">
        <v>100</v>
      </c>
      <c r="G8" s="199">
        <f t="shared" si="0"/>
        <v>100</v>
      </c>
      <c r="H8" s="200" t="s">
        <v>101</v>
      </c>
      <c r="I8" s="6"/>
      <c r="J8" s="6"/>
      <c r="K8" s="6"/>
      <c r="L8" s="6"/>
      <c r="M8" s="6"/>
      <c r="N8" s="6"/>
      <c r="O8" s="6"/>
      <c r="P8" s="6"/>
    </row>
    <row r="9" spans="1:17" ht="123" customHeight="1">
      <c r="A9" s="19"/>
      <c r="B9" s="650" t="s">
        <v>106</v>
      </c>
      <c r="C9" s="650"/>
      <c r="D9" s="650"/>
      <c r="E9" s="650"/>
      <c r="F9" s="650"/>
      <c r="G9" s="650"/>
      <c r="H9" s="650"/>
      <c r="I9" s="650"/>
      <c r="J9" s="650"/>
      <c r="K9" s="650"/>
      <c r="L9" s="650"/>
      <c r="M9" s="650"/>
      <c r="N9" s="650"/>
      <c r="O9" s="650"/>
      <c r="P9" s="650"/>
    </row>
    <row r="10" spans="1:17" ht="15" customHeight="1">
      <c r="A10" s="19"/>
      <c r="B10" s="202"/>
      <c r="C10" s="203"/>
      <c r="D10" s="6"/>
      <c r="E10" s="6"/>
      <c r="F10" s="6"/>
      <c r="G10" s="1"/>
      <c r="H10" s="1"/>
      <c r="I10" s="1"/>
      <c r="J10" s="1"/>
      <c r="K10" s="1"/>
      <c r="L10" s="1"/>
      <c r="M10" s="1"/>
      <c r="N10" s="1"/>
      <c r="O10" s="1"/>
      <c r="P10" s="1"/>
    </row>
    <row r="11" spans="1:17" ht="14.85" customHeight="1">
      <c r="A11" s="153"/>
      <c r="B11" s="643" t="s">
        <v>15</v>
      </c>
      <c r="C11" s="643"/>
      <c r="D11" s="205"/>
      <c r="E11" s="154"/>
      <c r="F11" s="154"/>
      <c r="G11" s="154"/>
      <c r="H11" s="154"/>
      <c r="I11" s="154"/>
      <c r="J11" s="154"/>
      <c r="K11" s="154"/>
      <c r="L11" s="154"/>
      <c r="M11" s="154"/>
      <c r="N11" s="154"/>
      <c r="O11" s="154"/>
      <c r="P11" s="157"/>
      <c r="Q11" s="158"/>
    </row>
    <row r="12" spans="1:17" ht="14.85" customHeight="1">
      <c r="A12" s="153"/>
      <c r="C12" s="298" t="s">
        <v>107</v>
      </c>
      <c r="D12" s="154"/>
      <c r="G12" s="154"/>
      <c r="H12" s="154"/>
      <c r="I12" s="154"/>
      <c r="J12" s="154"/>
      <c r="K12" s="154"/>
      <c r="L12" s="154"/>
      <c r="M12" s="154"/>
      <c r="N12" s="154"/>
      <c r="O12" s="154"/>
      <c r="P12" s="157"/>
      <c r="Q12" s="158"/>
    </row>
    <row r="13" spans="1:17" ht="14.85" customHeight="1">
      <c r="A13" s="153"/>
      <c r="C13" s="322" t="s">
        <v>17</v>
      </c>
      <c r="D13" s="154"/>
      <c r="G13" s="154"/>
      <c r="H13" s="154"/>
      <c r="I13" s="154"/>
      <c r="J13" s="154"/>
      <c r="K13" s="154"/>
      <c r="L13" s="154"/>
      <c r="M13" s="154"/>
      <c r="N13" s="154"/>
      <c r="O13" s="154"/>
      <c r="P13" s="157"/>
      <c r="Q13" s="158"/>
    </row>
    <row r="14" spans="1:17" ht="15.75" thickBot="1">
      <c r="A14" s="22"/>
      <c r="B14" s="127"/>
      <c r="D14" s="154"/>
      <c r="E14" s="154"/>
      <c r="F14" s="154"/>
      <c r="G14" s="154"/>
      <c r="H14" s="154"/>
      <c r="I14" s="154"/>
      <c r="J14" s="154"/>
      <c r="K14" s="154"/>
      <c r="L14" s="154"/>
      <c r="M14" s="154"/>
      <c r="N14" s="154"/>
      <c r="O14" s="154"/>
      <c r="P14" s="157"/>
      <c r="Q14" s="158"/>
    </row>
    <row r="15" spans="1:17" ht="28.5" customHeight="1" thickBot="1">
      <c r="B15" s="206" t="s">
        <v>28</v>
      </c>
      <c r="C15" s="165" t="s">
        <v>52</v>
      </c>
      <c r="D15" s="207" t="s">
        <v>30</v>
      </c>
      <c r="E15" s="208" t="s">
        <v>31</v>
      </c>
      <c r="F15" s="208" t="s">
        <v>32</v>
      </c>
      <c r="G15" s="208" t="s">
        <v>33</v>
      </c>
      <c r="H15" s="208" t="s">
        <v>34</v>
      </c>
      <c r="I15" s="208" t="s">
        <v>35</v>
      </c>
      <c r="J15" s="208" t="s">
        <v>36</v>
      </c>
      <c r="K15" s="208" t="s">
        <v>37</v>
      </c>
      <c r="L15" s="208" t="s">
        <v>38</v>
      </c>
      <c r="M15" s="208" t="s">
        <v>39</v>
      </c>
      <c r="N15" s="208" t="s">
        <v>40</v>
      </c>
      <c r="O15" s="209" t="s">
        <v>41</v>
      </c>
      <c r="P15" s="206" t="s">
        <v>42</v>
      </c>
    </row>
    <row r="16" spans="1:17" ht="14.85" customHeight="1">
      <c r="B16" s="210">
        <f>ÜLDANDMED!D14</f>
        <v>2024</v>
      </c>
      <c r="C16" s="211" t="s">
        <v>108</v>
      </c>
      <c r="D16" s="300"/>
      <c r="E16" s="300"/>
      <c r="F16" s="300"/>
      <c r="G16" s="300"/>
      <c r="H16" s="300"/>
      <c r="I16" s="300"/>
      <c r="J16" s="300"/>
      <c r="K16" s="300"/>
      <c r="L16" s="300"/>
      <c r="M16" s="300"/>
      <c r="N16" s="300"/>
      <c r="O16" s="300"/>
      <c r="P16" s="338">
        <f>SUM(D16:O16)</f>
        <v>0</v>
      </c>
    </row>
    <row r="17" spans="2:21" s="10" customFormat="1" ht="14.85" customHeight="1">
      <c r="B17" s="210"/>
      <c r="C17" s="212" t="s">
        <v>109</v>
      </c>
      <c r="D17" s="344">
        <f>D16*$G$4</f>
        <v>0</v>
      </c>
      <c r="E17" s="344">
        <f t="shared" ref="E17:O17" si="1">E16*$G$4</f>
        <v>0</v>
      </c>
      <c r="F17" s="344">
        <f t="shared" si="1"/>
        <v>0</v>
      </c>
      <c r="G17" s="344">
        <f t="shared" si="1"/>
        <v>0</v>
      </c>
      <c r="H17" s="344">
        <f t="shared" si="1"/>
        <v>0</v>
      </c>
      <c r="I17" s="344">
        <f t="shared" si="1"/>
        <v>0</v>
      </c>
      <c r="J17" s="344">
        <f t="shared" si="1"/>
        <v>0</v>
      </c>
      <c r="K17" s="344">
        <f t="shared" si="1"/>
        <v>0</v>
      </c>
      <c r="L17" s="344">
        <f t="shared" si="1"/>
        <v>0</v>
      </c>
      <c r="M17" s="344">
        <f t="shared" si="1"/>
        <v>0</v>
      </c>
      <c r="N17" s="344">
        <f t="shared" si="1"/>
        <v>0</v>
      </c>
      <c r="O17" s="344">
        <f t="shared" si="1"/>
        <v>0</v>
      </c>
      <c r="P17" s="335">
        <f>SUM(D17:O17)</f>
        <v>0</v>
      </c>
      <c r="R17" s="1"/>
      <c r="S17" s="1"/>
      <c r="T17" s="1"/>
      <c r="U17" s="1"/>
    </row>
    <row r="18" spans="2:21" s="10" customFormat="1" ht="14.85" customHeight="1" thickBot="1">
      <c r="B18" s="210"/>
      <c r="C18" s="213" t="s">
        <v>110</v>
      </c>
      <c r="D18" s="304"/>
      <c r="E18" s="304"/>
      <c r="F18" s="304"/>
      <c r="G18" s="304"/>
      <c r="H18" s="304"/>
      <c r="I18" s="304"/>
      <c r="J18" s="304"/>
      <c r="K18" s="304"/>
      <c r="L18" s="304"/>
      <c r="M18" s="304"/>
      <c r="N18" s="304"/>
      <c r="O18" s="304"/>
      <c r="P18" s="334">
        <f>SUM(D18:O18)</f>
        <v>0</v>
      </c>
      <c r="R18" s="1"/>
      <c r="S18" s="1"/>
      <c r="T18" s="1"/>
      <c r="U18" s="1"/>
    </row>
    <row r="19" spans="2:21" s="10" customFormat="1" ht="14.85" customHeight="1">
      <c r="B19" s="210"/>
      <c r="C19" s="211" t="s">
        <v>111</v>
      </c>
      <c r="D19" s="300"/>
      <c r="E19" s="300"/>
      <c r="F19" s="300"/>
      <c r="G19" s="300"/>
      <c r="H19" s="300"/>
      <c r="I19" s="300"/>
      <c r="J19" s="300"/>
      <c r="K19" s="300"/>
      <c r="L19" s="300"/>
      <c r="M19" s="300"/>
      <c r="N19" s="300"/>
      <c r="O19" s="300"/>
      <c r="P19" s="338">
        <f t="shared" ref="P19:P20" si="2">SUM(D19:O19)</f>
        <v>0</v>
      </c>
      <c r="R19" s="1"/>
      <c r="S19" s="1"/>
      <c r="T19" s="1"/>
      <c r="U19" s="1"/>
    </row>
    <row r="20" spans="2:21" s="10" customFormat="1" ht="14.85" customHeight="1">
      <c r="B20" s="210"/>
      <c r="C20" s="212" t="s">
        <v>112</v>
      </c>
      <c r="D20" s="344">
        <f t="shared" ref="D20:O20" si="3">D19*$G$5</f>
        <v>0</v>
      </c>
      <c r="E20" s="344">
        <f t="shared" si="3"/>
        <v>0</v>
      </c>
      <c r="F20" s="344">
        <f t="shared" si="3"/>
        <v>0</v>
      </c>
      <c r="G20" s="344">
        <f t="shared" si="3"/>
        <v>0</v>
      </c>
      <c r="H20" s="344">
        <f t="shared" si="3"/>
        <v>0</v>
      </c>
      <c r="I20" s="344">
        <f t="shared" si="3"/>
        <v>0</v>
      </c>
      <c r="J20" s="344">
        <f t="shared" si="3"/>
        <v>0</v>
      </c>
      <c r="K20" s="344">
        <f t="shared" si="3"/>
        <v>0</v>
      </c>
      <c r="L20" s="344">
        <f t="shared" si="3"/>
        <v>0</v>
      </c>
      <c r="M20" s="344">
        <f t="shared" si="3"/>
        <v>0</v>
      </c>
      <c r="N20" s="344">
        <f t="shared" si="3"/>
        <v>0</v>
      </c>
      <c r="O20" s="344">
        <f t="shared" si="3"/>
        <v>0</v>
      </c>
      <c r="P20" s="335">
        <f t="shared" si="2"/>
        <v>0</v>
      </c>
      <c r="R20" s="1"/>
      <c r="S20" s="1"/>
      <c r="T20" s="1"/>
      <c r="U20" s="1"/>
    </row>
    <row r="21" spans="2:21" s="10" customFormat="1" ht="14.85" customHeight="1" thickBot="1">
      <c r="B21" s="210"/>
      <c r="C21" s="213" t="s">
        <v>113</v>
      </c>
      <c r="D21" s="304"/>
      <c r="E21" s="304"/>
      <c r="F21" s="304"/>
      <c r="G21" s="304"/>
      <c r="H21" s="304"/>
      <c r="I21" s="304"/>
      <c r="J21" s="304"/>
      <c r="K21" s="304"/>
      <c r="L21" s="304"/>
      <c r="M21" s="304"/>
      <c r="N21" s="304"/>
      <c r="O21" s="304"/>
      <c r="P21" s="334">
        <f>SUM(D21:O21)</f>
        <v>0</v>
      </c>
      <c r="R21" s="1"/>
      <c r="S21" s="1"/>
      <c r="T21" s="1"/>
      <c r="U21" s="1"/>
    </row>
    <row r="22" spans="2:21" ht="14.85" customHeight="1">
      <c r="B22" s="210"/>
      <c r="C22" s="211" t="s">
        <v>114</v>
      </c>
      <c r="D22" s="300"/>
      <c r="E22" s="300"/>
      <c r="F22" s="300"/>
      <c r="G22" s="300"/>
      <c r="H22" s="300"/>
      <c r="I22" s="300"/>
      <c r="J22" s="300"/>
      <c r="K22" s="300"/>
      <c r="L22" s="300"/>
      <c r="M22" s="300"/>
      <c r="N22" s="300"/>
      <c r="O22" s="300"/>
      <c r="P22" s="338">
        <f t="shared" ref="P22:P23" si="4">SUM(D22:O22)</f>
        <v>0</v>
      </c>
    </row>
    <row r="23" spans="2:21" ht="14.85" customHeight="1">
      <c r="B23" s="210"/>
      <c r="C23" s="212" t="s">
        <v>115</v>
      </c>
      <c r="D23" s="344">
        <f t="shared" ref="D23:O23" si="5">D22*$G$6</f>
        <v>0</v>
      </c>
      <c r="E23" s="344">
        <f t="shared" si="5"/>
        <v>0</v>
      </c>
      <c r="F23" s="344">
        <f t="shared" si="5"/>
        <v>0</v>
      </c>
      <c r="G23" s="344">
        <f t="shared" si="5"/>
        <v>0</v>
      </c>
      <c r="H23" s="344">
        <f t="shared" si="5"/>
        <v>0</v>
      </c>
      <c r="I23" s="344">
        <f t="shared" si="5"/>
        <v>0</v>
      </c>
      <c r="J23" s="344">
        <f t="shared" si="5"/>
        <v>0</v>
      </c>
      <c r="K23" s="344">
        <f t="shared" si="5"/>
        <v>0</v>
      </c>
      <c r="L23" s="344">
        <f t="shared" si="5"/>
        <v>0</v>
      </c>
      <c r="M23" s="344">
        <f t="shared" si="5"/>
        <v>0</v>
      </c>
      <c r="N23" s="344">
        <f t="shared" si="5"/>
        <v>0</v>
      </c>
      <c r="O23" s="344">
        <f t="shared" si="5"/>
        <v>0</v>
      </c>
      <c r="P23" s="335">
        <f t="shared" si="4"/>
        <v>0</v>
      </c>
    </row>
    <row r="24" spans="2:21" ht="14.85" customHeight="1" thickBot="1">
      <c r="B24" s="210"/>
      <c r="C24" s="213" t="s">
        <v>116</v>
      </c>
      <c r="D24" s="304"/>
      <c r="E24" s="304"/>
      <c r="F24" s="304"/>
      <c r="G24" s="304"/>
      <c r="H24" s="304"/>
      <c r="I24" s="304"/>
      <c r="J24" s="304"/>
      <c r="K24" s="304"/>
      <c r="L24" s="304"/>
      <c r="M24" s="304"/>
      <c r="N24" s="304"/>
      <c r="O24" s="304"/>
      <c r="P24" s="334">
        <f>SUM(D24:O24)</f>
        <v>0</v>
      </c>
    </row>
    <row r="25" spans="2:21" ht="14.85" customHeight="1">
      <c r="B25" s="210"/>
      <c r="C25" s="211" t="s">
        <v>117</v>
      </c>
      <c r="D25" s="300"/>
      <c r="E25" s="300"/>
      <c r="F25" s="300"/>
      <c r="G25" s="300"/>
      <c r="H25" s="300"/>
      <c r="I25" s="300"/>
      <c r="J25" s="300"/>
      <c r="K25" s="300"/>
      <c r="L25" s="300"/>
      <c r="M25" s="300"/>
      <c r="N25" s="300"/>
      <c r="O25" s="300"/>
      <c r="P25" s="338">
        <f t="shared" ref="P25" si="6">SUM(D25:O25)</f>
        <v>0</v>
      </c>
    </row>
    <row r="26" spans="2:21" ht="14.85" customHeight="1">
      <c r="B26" s="210"/>
      <c r="C26" s="212" t="s">
        <v>118</v>
      </c>
      <c r="D26" s="344">
        <f>D25*$G$7</f>
        <v>0</v>
      </c>
      <c r="E26" s="344">
        <f t="shared" ref="E26:O26" si="7">E25*$G$7</f>
        <v>0</v>
      </c>
      <c r="F26" s="344">
        <f t="shared" si="7"/>
        <v>0</v>
      </c>
      <c r="G26" s="344">
        <f t="shared" si="7"/>
        <v>0</v>
      </c>
      <c r="H26" s="344">
        <f t="shared" si="7"/>
        <v>0</v>
      </c>
      <c r="I26" s="344">
        <f t="shared" si="7"/>
        <v>0</v>
      </c>
      <c r="J26" s="344">
        <f t="shared" si="7"/>
        <v>0</v>
      </c>
      <c r="K26" s="344">
        <f t="shared" si="7"/>
        <v>0</v>
      </c>
      <c r="L26" s="344">
        <f t="shared" si="7"/>
        <v>0</v>
      </c>
      <c r="M26" s="344">
        <f t="shared" si="7"/>
        <v>0</v>
      </c>
      <c r="N26" s="344">
        <f t="shared" si="7"/>
        <v>0</v>
      </c>
      <c r="O26" s="344">
        <f t="shared" si="7"/>
        <v>0</v>
      </c>
      <c r="P26" s="335">
        <f t="shared" ref="P26" si="8">SUM(D26:O26)</f>
        <v>0</v>
      </c>
    </row>
    <row r="27" spans="2:21" ht="14.85" customHeight="1" thickBot="1">
      <c r="B27" s="210"/>
      <c r="C27" s="213" t="s">
        <v>119</v>
      </c>
      <c r="D27" s="304"/>
      <c r="E27" s="304"/>
      <c r="F27" s="304"/>
      <c r="G27" s="304"/>
      <c r="H27" s="304"/>
      <c r="I27" s="304"/>
      <c r="J27" s="304"/>
      <c r="K27" s="304"/>
      <c r="L27" s="304"/>
      <c r="M27" s="304"/>
      <c r="N27" s="304"/>
      <c r="O27" s="304"/>
      <c r="P27" s="334">
        <f>SUM(D27:O27)</f>
        <v>0</v>
      </c>
    </row>
    <row r="28" spans="2:21" ht="15.75" thickBot="1">
      <c r="B28" s="210"/>
      <c r="C28" s="152" t="s">
        <v>120</v>
      </c>
      <c r="D28" s="345">
        <f>D23+D24+D20+D21+D26+D27+D17+D18</f>
        <v>0</v>
      </c>
      <c r="E28" s="345">
        <f t="shared" ref="E28:N28" si="9">E23+E24+E20+E21+E26+E27+E17+E18</f>
        <v>0</v>
      </c>
      <c r="F28" s="345">
        <f t="shared" si="9"/>
        <v>0</v>
      </c>
      <c r="G28" s="345">
        <f t="shared" si="9"/>
        <v>0</v>
      </c>
      <c r="H28" s="345">
        <f t="shared" si="9"/>
        <v>0</v>
      </c>
      <c r="I28" s="345">
        <f t="shared" si="9"/>
        <v>0</v>
      </c>
      <c r="J28" s="345">
        <f t="shared" si="9"/>
        <v>0</v>
      </c>
      <c r="K28" s="345">
        <f t="shared" si="9"/>
        <v>0</v>
      </c>
      <c r="L28" s="345">
        <f t="shared" si="9"/>
        <v>0</v>
      </c>
      <c r="M28" s="345">
        <f t="shared" si="9"/>
        <v>0</v>
      </c>
      <c r="N28" s="345">
        <f t="shared" si="9"/>
        <v>0</v>
      </c>
      <c r="O28" s="345">
        <f>O23+O24+O20+O21+O26+O27+O17+O18</f>
        <v>0</v>
      </c>
      <c r="P28" s="346">
        <f>SUM(D28:O28)</f>
        <v>0</v>
      </c>
      <c r="Q28" s="145"/>
    </row>
    <row r="29" spans="2:21">
      <c r="B29" s="210"/>
      <c r="C29" s="214" t="s">
        <v>121</v>
      </c>
      <c r="D29" s="300"/>
      <c r="E29" s="300"/>
      <c r="F29" s="300"/>
      <c r="G29" s="300"/>
      <c r="H29" s="300"/>
      <c r="I29" s="300"/>
      <c r="J29" s="300"/>
      <c r="K29" s="300"/>
      <c r="L29" s="300"/>
      <c r="M29" s="300"/>
      <c r="N29" s="300"/>
      <c r="O29" s="300"/>
      <c r="P29" s="338">
        <f t="shared" ref="P29:P32" si="10">SUM(D29:O29)</f>
        <v>0</v>
      </c>
      <c r="Q29" s="145"/>
    </row>
    <row r="30" spans="2:21">
      <c r="B30" s="210"/>
      <c r="C30" s="215" t="s">
        <v>122</v>
      </c>
      <c r="D30" s="344">
        <f>D29*$G$8</f>
        <v>0</v>
      </c>
      <c r="E30" s="344">
        <f t="shared" ref="E30:O30" si="11">E29*$G$8</f>
        <v>0</v>
      </c>
      <c r="F30" s="344">
        <f t="shared" si="11"/>
        <v>0</v>
      </c>
      <c r="G30" s="344">
        <f t="shared" si="11"/>
        <v>0</v>
      </c>
      <c r="H30" s="344">
        <f t="shared" si="11"/>
        <v>0</v>
      </c>
      <c r="I30" s="344">
        <f t="shared" si="11"/>
        <v>0</v>
      </c>
      <c r="J30" s="344">
        <f t="shared" si="11"/>
        <v>0</v>
      </c>
      <c r="K30" s="344">
        <f t="shared" si="11"/>
        <v>0</v>
      </c>
      <c r="L30" s="344">
        <f t="shared" si="11"/>
        <v>0</v>
      </c>
      <c r="M30" s="344">
        <f t="shared" si="11"/>
        <v>0</v>
      </c>
      <c r="N30" s="344">
        <f t="shared" si="11"/>
        <v>0</v>
      </c>
      <c r="O30" s="344">
        <f t="shared" si="11"/>
        <v>0</v>
      </c>
      <c r="P30" s="335">
        <f t="shared" si="10"/>
        <v>0</v>
      </c>
      <c r="Q30" s="145"/>
    </row>
    <row r="31" spans="2:21" ht="15.75" thickBot="1">
      <c r="B31" s="210"/>
      <c r="C31" s="216" t="s">
        <v>123</v>
      </c>
      <c r="D31" s="304"/>
      <c r="E31" s="304"/>
      <c r="F31" s="304"/>
      <c r="G31" s="304"/>
      <c r="H31" s="304"/>
      <c r="I31" s="304"/>
      <c r="J31" s="304"/>
      <c r="K31" s="304"/>
      <c r="L31" s="304"/>
      <c r="M31" s="304"/>
      <c r="N31" s="304"/>
      <c r="O31" s="304"/>
      <c r="P31" s="334">
        <f>SUM(D31:O31)</f>
        <v>0</v>
      </c>
      <c r="Q31" s="145"/>
    </row>
    <row r="32" spans="2:21">
      <c r="B32" s="210"/>
      <c r="C32" s="214" t="s">
        <v>124</v>
      </c>
      <c r="D32" s="300"/>
      <c r="E32" s="300"/>
      <c r="F32" s="300"/>
      <c r="G32" s="300"/>
      <c r="H32" s="300"/>
      <c r="I32" s="300"/>
      <c r="J32" s="300"/>
      <c r="K32" s="300"/>
      <c r="L32" s="300"/>
      <c r="M32" s="300"/>
      <c r="N32" s="300"/>
      <c r="O32" s="300"/>
      <c r="P32" s="338">
        <f t="shared" si="10"/>
        <v>0</v>
      </c>
      <c r="Q32" s="145"/>
    </row>
    <row r="33" spans="2:21" ht="14.85" customHeight="1">
      <c r="B33" s="210"/>
      <c r="C33" s="215" t="s">
        <v>125</v>
      </c>
      <c r="D33" s="344">
        <f>D32*$G$8</f>
        <v>0</v>
      </c>
      <c r="E33" s="344">
        <f t="shared" ref="E33:O33" si="12">E32*$G$8</f>
        <v>0</v>
      </c>
      <c r="F33" s="344">
        <f t="shared" si="12"/>
        <v>0</v>
      </c>
      <c r="G33" s="344">
        <f t="shared" si="12"/>
        <v>0</v>
      </c>
      <c r="H33" s="344">
        <f t="shared" si="12"/>
        <v>0</v>
      </c>
      <c r="I33" s="344">
        <f t="shared" si="12"/>
        <v>0</v>
      </c>
      <c r="J33" s="344">
        <f t="shared" si="12"/>
        <v>0</v>
      </c>
      <c r="K33" s="344">
        <f t="shared" si="12"/>
        <v>0</v>
      </c>
      <c r="L33" s="344">
        <f t="shared" si="12"/>
        <v>0</v>
      </c>
      <c r="M33" s="344">
        <f t="shared" si="12"/>
        <v>0</v>
      </c>
      <c r="N33" s="344">
        <f t="shared" si="12"/>
        <v>0</v>
      </c>
      <c r="O33" s="344">
        <f t="shared" si="12"/>
        <v>0</v>
      </c>
      <c r="P33" s="338">
        <f t="shared" ref="P33:P36" si="13">SUM(D33:O33)</f>
        <v>0</v>
      </c>
    </row>
    <row r="34" spans="2:21" ht="14.85" customHeight="1" thickBot="1">
      <c r="B34" s="210"/>
      <c r="C34" s="216" t="s">
        <v>126</v>
      </c>
      <c r="D34" s="304"/>
      <c r="E34" s="304"/>
      <c r="F34" s="304"/>
      <c r="G34" s="304"/>
      <c r="H34" s="304"/>
      <c r="I34" s="304"/>
      <c r="J34" s="304"/>
      <c r="K34" s="304"/>
      <c r="L34" s="304"/>
      <c r="M34" s="304"/>
      <c r="N34" s="304"/>
      <c r="O34" s="304"/>
      <c r="P34" s="334">
        <f>SUM(D34:O34)</f>
        <v>0</v>
      </c>
    </row>
    <row r="35" spans="2:21" ht="14.85" customHeight="1" thickBot="1">
      <c r="B35" s="210"/>
      <c r="C35" s="217" t="s">
        <v>127</v>
      </c>
      <c r="D35" s="345">
        <f>D30+D31+D33+D34</f>
        <v>0</v>
      </c>
      <c r="E35" s="345">
        <f t="shared" ref="E35:O35" si="14">E30+E31+E33+E34</f>
        <v>0</v>
      </c>
      <c r="F35" s="345">
        <f t="shared" si="14"/>
        <v>0</v>
      </c>
      <c r="G35" s="345">
        <f t="shared" si="14"/>
        <v>0</v>
      </c>
      <c r="H35" s="345">
        <f t="shared" si="14"/>
        <v>0</v>
      </c>
      <c r="I35" s="345">
        <f t="shared" si="14"/>
        <v>0</v>
      </c>
      <c r="J35" s="345">
        <f t="shared" si="14"/>
        <v>0</v>
      </c>
      <c r="K35" s="345">
        <f t="shared" si="14"/>
        <v>0</v>
      </c>
      <c r="L35" s="345">
        <f t="shared" si="14"/>
        <v>0</v>
      </c>
      <c r="M35" s="345">
        <f t="shared" si="14"/>
        <v>0</v>
      </c>
      <c r="N35" s="345">
        <f t="shared" si="14"/>
        <v>0</v>
      </c>
      <c r="O35" s="345">
        <f t="shared" si="14"/>
        <v>0</v>
      </c>
      <c r="P35" s="346">
        <f t="shared" si="13"/>
        <v>0</v>
      </c>
    </row>
    <row r="36" spans="2:21" ht="15.75" thickBot="1">
      <c r="B36" s="210"/>
      <c r="C36" s="152" t="s">
        <v>128</v>
      </c>
      <c r="D36" s="345">
        <f>D28+D35</f>
        <v>0</v>
      </c>
      <c r="E36" s="345">
        <f t="shared" ref="E36:N36" si="15">E28+E35</f>
        <v>0</v>
      </c>
      <c r="F36" s="345">
        <f t="shared" si="15"/>
        <v>0</v>
      </c>
      <c r="G36" s="345">
        <f t="shared" si="15"/>
        <v>0</v>
      </c>
      <c r="H36" s="345">
        <f t="shared" si="15"/>
        <v>0</v>
      </c>
      <c r="I36" s="345">
        <f t="shared" si="15"/>
        <v>0</v>
      </c>
      <c r="J36" s="345">
        <f t="shared" si="15"/>
        <v>0</v>
      </c>
      <c r="K36" s="345">
        <f t="shared" si="15"/>
        <v>0</v>
      </c>
      <c r="L36" s="345">
        <f t="shared" si="15"/>
        <v>0</v>
      </c>
      <c r="M36" s="345">
        <f t="shared" si="15"/>
        <v>0</v>
      </c>
      <c r="N36" s="345">
        <f t="shared" si="15"/>
        <v>0</v>
      </c>
      <c r="O36" s="345">
        <f>O28+O35</f>
        <v>0</v>
      </c>
      <c r="P36" s="346">
        <f t="shared" si="13"/>
        <v>0</v>
      </c>
    </row>
    <row r="37" spans="2:21">
      <c r="B37" s="210"/>
      <c r="C37" s="218" t="s">
        <v>129</v>
      </c>
      <c r="D37" s="347" t="e">
        <f>D36/ÜLDANDMED!D26</f>
        <v>#DIV/0!</v>
      </c>
      <c r="E37" s="347" t="e">
        <f>E36/ÜLDANDMED!E26</f>
        <v>#DIV/0!</v>
      </c>
      <c r="F37" s="347" t="e">
        <f>F36/ÜLDANDMED!F26</f>
        <v>#DIV/0!</v>
      </c>
      <c r="G37" s="347" t="e">
        <f>G36/ÜLDANDMED!G26</f>
        <v>#DIV/0!</v>
      </c>
      <c r="H37" s="347" t="e">
        <f>H36/ÜLDANDMED!H26</f>
        <v>#DIV/0!</v>
      </c>
      <c r="I37" s="347" t="e">
        <f>I36/ÜLDANDMED!I26</f>
        <v>#DIV/0!</v>
      </c>
      <c r="J37" s="347" t="e">
        <f>J36/ÜLDANDMED!J26</f>
        <v>#DIV/0!</v>
      </c>
      <c r="K37" s="347" t="e">
        <f>K36/ÜLDANDMED!K26</f>
        <v>#DIV/0!</v>
      </c>
      <c r="L37" s="347" t="e">
        <f>L36/ÜLDANDMED!L26</f>
        <v>#DIV/0!</v>
      </c>
      <c r="M37" s="347" t="e">
        <f>M36/ÜLDANDMED!M26</f>
        <v>#DIV/0!</v>
      </c>
      <c r="N37" s="347" t="e">
        <f>N36/ÜLDANDMED!N26</f>
        <v>#DIV/0!</v>
      </c>
      <c r="O37" s="347" t="e">
        <f>O36/ÜLDANDMED!O26</f>
        <v>#DIV/0!</v>
      </c>
      <c r="P37" s="323" t="e">
        <f>P36/ööbimised_2024</f>
        <v>#DIV/0!</v>
      </c>
    </row>
    <row r="38" spans="2:21" ht="15.75" thickBot="1">
      <c r="B38" s="219"/>
      <c r="C38" s="220" t="s">
        <v>130</v>
      </c>
      <c r="D38" s="348" t="e">
        <f>D28/D36</f>
        <v>#DIV/0!</v>
      </c>
      <c r="E38" s="348" t="e">
        <f t="shared" ref="E38:P38" si="16">E28/E36</f>
        <v>#DIV/0!</v>
      </c>
      <c r="F38" s="348" t="e">
        <f t="shared" si="16"/>
        <v>#DIV/0!</v>
      </c>
      <c r="G38" s="348" t="e">
        <f t="shared" si="16"/>
        <v>#DIV/0!</v>
      </c>
      <c r="H38" s="348" t="e">
        <f t="shared" si="16"/>
        <v>#DIV/0!</v>
      </c>
      <c r="I38" s="348" t="e">
        <f t="shared" si="16"/>
        <v>#DIV/0!</v>
      </c>
      <c r="J38" s="348" t="e">
        <f t="shared" si="16"/>
        <v>#DIV/0!</v>
      </c>
      <c r="K38" s="348" t="e">
        <f t="shared" si="16"/>
        <v>#DIV/0!</v>
      </c>
      <c r="L38" s="348" t="e">
        <f t="shared" si="16"/>
        <v>#DIV/0!</v>
      </c>
      <c r="M38" s="348" t="e">
        <f t="shared" si="16"/>
        <v>#DIV/0!</v>
      </c>
      <c r="N38" s="348" t="e">
        <f>N28/N36</f>
        <v>#DIV/0!</v>
      </c>
      <c r="O38" s="348" t="e">
        <f>O28/O36</f>
        <v>#DIV/0!</v>
      </c>
      <c r="P38" s="349" t="e">
        <f t="shared" si="16"/>
        <v>#DIV/0!</v>
      </c>
      <c r="Q38" s="221"/>
    </row>
    <row r="39" spans="2:21" ht="14.85" customHeight="1">
      <c r="B39" s="62"/>
      <c r="C39" s="222"/>
      <c r="D39" s="21"/>
      <c r="E39" s="21"/>
      <c r="F39" s="21"/>
      <c r="G39" s="21"/>
      <c r="H39" s="21"/>
      <c r="I39" s="21"/>
      <c r="J39" s="21"/>
      <c r="K39" s="21"/>
      <c r="L39" s="21"/>
      <c r="M39" s="21"/>
      <c r="N39" s="21"/>
      <c r="O39" s="21"/>
      <c r="P39" s="1"/>
    </row>
    <row r="40" spans="2:21" ht="15.75" thickBot="1"/>
    <row r="41" spans="2:21">
      <c r="B41" s="653" t="s">
        <v>28</v>
      </c>
      <c r="C41" s="651" t="s">
        <v>52</v>
      </c>
      <c r="D41" s="659" t="s">
        <v>30</v>
      </c>
      <c r="E41" s="655" t="s">
        <v>31</v>
      </c>
      <c r="F41" s="655" t="s">
        <v>32</v>
      </c>
      <c r="G41" s="655" t="s">
        <v>33</v>
      </c>
      <c r="H41" s="655" t="s">
        <v>34</v>
      </c>
      <c r="I41" s="655" t="s">
        <v>35</v>
      </c>
      <c r="J41" s="655" t="s">
        <v>36</v>
      </c>
      <c r="K41" s="655" t="s">
        <v>37</v>
      </c>
      <c r="L41" s="655" t="s">
        <v>38</v>
      </c>
      <c r="M41" s="655" t="s">
        <v>39</v>
      </c>
      <c r="N41" s="655" t="s">
        <v>40</v>
      </c>
      <c r="O41" s="657" t="s">
        <v>41</v>
      </c>
      <c r="P41" s="653" t="s">
        <v>42</v>
      </c>
    </row>
    <row r="42" spans="2:21" ht="15.75" thickBot="1">
      <c r="B42" s="654"/>
      <c r="C42" s="652"/>
      <c r="D42" s="660"/>
      <c r="E42" s="656"/>
      <c r="F42" s="656"/>
      <c r="G42" s="656"/>
      <c r="H42" s="656"/>
      <c r="I42" s="656"/>
      <c r="J42" s="656"/>
      <c r="K42" s="656"/>
      <c r="L42" s="656"/>
      <c r="M42" s="656"/>
      <c r="N42" s="656"/>
      <c r="O42" s="658"/>
      <c r="P42" s="654"/>
    </row>
    <row r="43" spans="2:21" ht="14.85" customHeight="1">
      <c r="B43" s="224">
        <f>ÜLDANDMED!E14</f>
        <v>2025</v>
      </c>
      <c r="C43" s="225" t="s">
        <v>108</v>
      </c>
      <c r="D43" s="305"/>
      <c r="E43" s="305"/>
      <c r="F43" s="305"/>
      <c r="G43" s="305"/>
      <c r="H43" s="305"/>
      <c r="I43" s="305"/>
      <c r="J43" s="305"/>
      <c r="K43" s="305"/>
      <c r="L43" s="305"/>
      <c r="M43" s="305"/>
      <c r="N43" s="305"/>
      <c r="O43" s="305"/>
      <c r="P43" s="335">
        <f>SUM(D43:O43)</f>
        <v>0</v>
      </c>
    </row>
    <row r="44" spans="2:21" s="10" customFormat="1" ht="14.85" customHeight="1">
      <c r="B44" s="210"/>
      <c r="C44" s="212" t="s">
        <v>109</v>
      </c>
      <c r="D44" s="344">
        <f>D43*$G$4</f>
        <v>0</v>
      </c>
      <c r="E44" s="344">
        <f t="shared" ref="E44:O44" si="17">E43*$G$4</f>
        <v>0</v>
      </c>
      <c r="F44" s="344">
        <f t="shared" si="17"/>
        <v>0</v>
      </c>
      <c r="G44" s="344">
        <f t="shared" si="17"/>
        <v>0</v>
      </c>
      <c r="H44" s="344">
        <f t="shared" si="17"/>
        <v>0</v>
      </c>
      <c r="I44" s="344">
        <f t="shared" si="17"/>
        <v>0</v>
      </c>
      <c r="J44" s="344">
        <f t="shared" si="17"/>
        <v>0</v>
      </c>
      <c r="K44" s="344">
        <f t="shared" si="17"/>
        <v>0</v>
      </c>
      <c r="L44" s="344">
        <f t="shared" si="17"/>
        <v>0</v>
      </c>
      <c r="M44" s="344">
        <f t="shared" si="17"/>
        <v>0</v>
      </c>
      <c r="N44" s="344">
        <f t="shared" si="17"/>
        <v>0</v>
      </c>
      <c r="O44" s="344">
        <f t="shared" si="17"/>
        <v>0</v>
      </c>
      <c r="P44" s="335">
        <f>SUM(D44:O44)</f>
        <v>0</v>
      </c>
    </row>
    <row r="45" spans="2:21" s="10" customFormat="1" ht="14.85" customHeight="1" thickBot="1">
      <c r="B45" s="210"/>
      <c r="C45" s="213" t="s">
        <v>110</v>
      </c>
      <c r="D45" s="304"/>
      <c r="E45" s="304"/>
      <c r="F45" s="304"/>
      <c r="G45" s="304"/>
      <c r="H45" s="304"/>
      <c r="I45" s="304"/>
      <c r="J45" s="304"/>
      <c r="K45" s="304"/>
      <c r="L45" s="304"/>
      <c r="M45" s="304"/>
      <c r="N45" s="304"/>
      <c r="O45" s="304"/>
      <c r="P45" s="334">
        <f>SUM(D45:O45)</f>
        <v>0</v>
      </c>
      <c r="R45" s="1"/>
      <c r="S45" s="1"/>
      <c r="T45" s="1"/>
      <c r="U45" s="1"/>
    </row>
    <row r="46" spans="2:21" s="10" customFormat="1" ht="14.85" customHeight="1">
      <c r="B46" s="210"/>
      <c r="C46" s="225" t="s">
        <v>111</v>
      </c>
      <c r="D46" s="305"/>
      <c r="E46" s="305"/>
      <c r="F46" s="305"/>
      <c r="G46" s="305"/>
      <c r="H46" s="305"/>
      <c r="I46" s="305"/>
      <c r="J46" s="305"/>
      <c r="K46" s="305"/>
      <c r="L46" s="305"/>
      <c r="M46" s="305"/>
      <c r="N46" s="305"/>
      <c r="O46" s="305"/>
      <c r="P46" s="335">
        <f t="shared" ref="P46:P47" si="18">SUM(D46:O46)</f>
        <v>0</v>
      </c>
      <c r="R46" s="1"/>
      <c r="S46" s="1"/>
      <c r="T46" s="1"/>
      <c r="U46" s="1"/>
    </row>
    <row r="47" spans="2:21" s="10" customFormat="1" ht="14.85" customHeight="1">
      <c r="B47" s="115"/>
      <c r="C47" s="212" t="s">
        <v>112</v>
      </c>
      <c r="D47" s="344">
        <f>D46*$G$5</f>
        <v>0</v>
      </c>
      <c r="E47" s="344">
        <f t="shared" ref="E47:O47" si="19">E46*$G$5</f>
        <v>0</v>
      </c>
      <c r="F47" s="344">
        <f t="shared" si="19"/>
        <v>0</v>
      </c>
      <c r="G47" s="344">
        <f t="shared" si="19"/>
        <v>0</v>
      </c>
      <c r="H47" s="344">
        <f t="shared" si="19"/>
        <v>0</v>
      </c>
      <c r="I47" s="344">
        <f t="shared" si="19"/>
        <v>0</v>
      </c>
      <c r="J47" s="344">
        <f t="shared" si="19"/>
        <v>0</v>
      </c>
      <c r="K47" s="344">
        <f t="shared" si="19"/>
        <v>0</v>
      </c>
      <c r="L47" s="344">
        <f t="shared" si="19"/>
        <v>0</v>
      </c>
      <c r="M47" s="344">
        <f t="shared" si="19"/>
        <v>0</v>
      </c>
      <c r="N47" s="344">
        <f t="shared" si="19"/>
        <v>0</v>
      </c>
      <c r="O47" s="344">
        <f t="shared" si="19"/>
        <v>0</v>
      </c>
      <c r="P47" s="335">
        <f t="shared" si="18"/>
        <v>0</v>
      </c>
      <c r="R47" s="1"/>
      <c r="S47" s="1"/>
      <c r="T47" s="1"/>
      <c r="U47" s="1"/>
    </row>
    <row r="48" spans="2:21" s="10" customFormat="1" ht="14.85" customHeight="1" thickBot="1">
      <c r="B48" s="210"/>
      <c r="C48" s="213" t="s">
        <v>113</v>
      </c>
      <c r="D48" s="304"/>
      <c r="E48" s="304"/>
      <c r="F48" s="304"/>
      <c r="G48" s="304"/>
      <c r="H48" s="304"/>
      <c r="I48" s="304"/>
      <c r="J48" s="304"/>
      <c r="K48" s="304"/>
      <c r="L48" s="304"/>
      <c r="M48" s="304"/>
      <c r="N48" s="304"/>
      <c r="O48" s="304"/>
      <c r="P48" s="334">
        <f>SUM(D48:O48)</f>
        <v>0</v>
      </c>
      <c r="R48" s="1"/>
      <c r="S48" s="1"/>
      <c r="T48" s="1"/>
      <c r="U48" s="1"/>
    </row>
    <row r="49" spans="2:17" ht="14.85" customHeight="1">
      <c r="B49" s="115"/>
      <c r="C49" s="225" t="s">
        <v>114</v>
      </c>
      <c r="D49" s="305"/>
      <c r="E49" s="305"/>
      <c r="F49" s="305"/>
      <c r="G49" s="305"/>
      <c r="H49" s="305"/>
      <c r="I49" s="305"/>
      <c r="J49" s="305"/>
      <c r="K49" s="305"/>
      <c r="L49" s="305"/>
      <c r="M49" s="305"/>
      <c r="N49" s="305"/>
      <c r="O49" s="305"/>
      <c r="P49" s="335">
        <f t="shared" ref="P49:P50" si="20">SUM(D49:O49)</f>
        <v>0</v>
      </c>
    </row>
    <row r="50" spans="2:17" ht="14.85" customHeight="1">
      <c r="B50" s="210"/>
      <c r="C50" s="212" t="s">
        <v>115</v>
      </c>
      <c r="D50" s="344">
        <f>D49*$G$6</f>
        <v>0</v>
      </c>
      <c r="E50" s="344">
        <f t="shared" ref="E50:O50" si="21">E49*$G$6</f>
        <v>0</v>
      </c>
      <c r="F50" s="344">
        <f t="shared" si="21"/>
        <v>0</v>
      </c>
      <c r="G50" s="344">
        <f t="shared" si="21"/>
        <v>0</v>
      </c>
      <c r="H50" s="344">
        <f t="shared" si="21"/>
        <v>0</v>
      </c>
      <c r="I50" s="344">
        <f t="shared" si="21"/>
        <v>0</v>
      </c>
      <c r="J50" s="344">
        <f t="shared" si="21"/>
        <v>0</v>
      </c>
      <c r="K50" s="344">
        <f t="shared" si="21"/>
        <v>0</v>
      </c>
      <c r="L50" s="344">
        <f t="shared" si="21"/>
        <v>0</v>
      </c>
      <c r="M50" s="344">
        <f t="shared" si="21"/>
        <v>0</v>
      </c>
      <c r="N50" s="344">
        <f t="shared" si="21"/>
        <v>0</v>
      </c>
      <c r="O50" s="344">
        <f t="shared" si="21"/>
        <v>0</v>
      </c>
      <c r="P50" s="335">
        <f t="shared" si="20"/>
        <v>0</v>
      </c>
    </row>
    <row r="51" spans="2:17" ht="14.85" customHeight="1" thickBot="1">
      <c r="B51" s="210"/>
      <c r="C51" s="213" t="s">
        <v>116</v>
      </c>
      <c r="D51" s="304"/>
      <c r="E51" s="304"/>
      <c r="F51" s="304"/>
      <c r="G51" s="304"/>
      <c r="H51" s="304"/>
      <c r="I51" s="304"/>
      <c r="J51" s="304"/>
      <c r="K51" s="304"/>
      <c r="L51" s="304"/>
      <c r="M51" s="304"/>
      <c r="N51" s="304"/>
      <c r="O51" s="304"/>
      <c r="P51" s="334">
        <f>SUM(D51:O51)</f>
        <v>0</v>
      </c>
    </row>
    <row r="52" spans="2:17" ht="14.85" customHeight="1">
      <c r="B52" s="210"/>
      <c r="C52" s="225" t="s">
        <v>117</v>
      </c>
      <c r="D52" s="305"/>
      <c r="E52" s="305"/>
      <c r="F52" s="305"/>
      <c r="G52" s="305"/>
      <c r="H52" s="305"/>
      <c r="I52" s="305"/>
      <c r="J52" s="305"/>
      <c r="K52" s="305"/>
      <c r="L52" s="305"/>
      <c r="M52" s="305"/>
      <c r="N52" s="305"/>
      <c r="O52" s="305"/>
      <c r="P52" s="335">
        <f t="shared" ref="P52" si="22">SUM(D52:O52)</f>
        <v>0</v>
      </c>
    </row>
    <row r="53" spans="2:17" ht="14.85" customHeight="1">
      <c r="B53" s="210"/>
      <c r="C53" s="212" t="s">
        <v>118</v>
      </c>
      <c r="D53" s="344">
        <f>D52*$G$7</f>
        <v>0</v>
      </c>
      <c r="E53" s="344">
        <f t="shared" ref="E53:O53" si="23">E52*$G$7</f>
        <v>0</v>
      </c>
      <c r="F53" s="344">
        <f t="shared" si="23"/>
        <v>0</v>
      </c>
      <c r="G53" s="344">
        <f t="shared" si="23"/>
        <v>0</v>
      </c>
      <c r="H53" s="344">
        <f t="shared" si="23"/>
        <v>0</v>
      </c>
      <c r="I53" s="344">
        <f t="shared" si="23"/>
        <v>0</v>
      </c>
      <c r="J53" s="344">
        <f t="shared" si="23"/>
        <v>0</v>
      </c>
      <c r="K53" s="344">
        <f t="shared" si="23"/>
        <v>0</v>
      </c>
      <c r="L53" s="344">
        <f t="shared" si="23"/>
        <v>0</v>
      </c>
      <c r="M53" s="344">
        <f t="shared" si="23"/>
        <v>0</v>
      </c>
      <c r="N53" s="344">
        <f t="shared" si="23"/>
        <v>0</v>
      </c>
      <c r="O53" s="344">
        <f t="shared" si="23"/>
        <v>0</v>
      </c>
      <c r="P53" s="335">
        <f t="shared" ref="P53" si="24">SUM(D53:O53)</f>
        <v>0</v>
      </c>
    </row>
    <row r="54" spans="2:17" ht="14.85" customHeight="1" thickBot="1">
      <c r="B54" s="210"/>
      <c r="C54" s="213" t="s">
        <v>119</v>
      </c>
      <c r="D54" s="304"/>
      <c r="E54" s="304"/>
      <c r="F54" s="304"/>
      <c r="G54" s="304"/>
      <c r="H54" s="304"/>
      <c r="I54" s="304"/>
      <c r="J54" s="304"/>
      <c r="K54" s="304"/>
      <c r="L54" s="304"/>
      <c r="M54" s="304"/>
      <c r="N54" s="304"/>
      <c r="O54" s="304"/>
      <c r="P54" s="334">
        <f>SUM(D54:O54)</f>
        <v>0</v>
      </c>
    </row>
    <row r="55" spans="2:17" ht="15.75" thickBot="1">
      <c r="B55" s="210"/>
      <c r="C55" s="152" t="s">
        <v>120</v>
      </c>
      <c r="D55" s="345">
        <f>D50+D51+D47+D48+D53+D54+D44+D45</f>
        <v>0</v>
      </c>
      <c r="E55" s="345">
        <f t="shared" ref="E55:O55" si="25">E50+E51+E47+E48+E53+E54+E44+E45</f>
        <v>0</v>
      </c>
      <c r="F55" s="345">
        <f t="shared" si="25"/>
        <v>0</v>
      </c>
      <c r="G55" s="345">
        <f t="shared" si="25"/>
        <v>0</v>
      </c>
      <c r="H55" s="345">
        <f t="shared" si="25"/>
        <v>0</v>
      </c>
      <c r="I55" s="345">
        <f t="shared" si="25"/>
        <v>0</v>
      </c>
      <c r="J55" s="345">
        <f t="shared" si="25"/>
        <v>0</v>
      </c>
      <c r="K55" s="345">
        <f t="shared" si="25"/>
        <v>0</v>
      </c>
      <c r="L55" s="345">
        <f t="shared" si="25"/>
        <v>0</v>
      </c>
      <c r="M55" s="345">
        <f t="shared" si="25"/>
        <v>0</v>
      </c>
      <c r="N55" s="345">
        <f t="shared" si="25"/>
        <v>0</v>
      </c>
      <c r="O55" s="345">
        <f t="shared" si="25"/>
        <v>0</v>
      </c>
      <c r="P55" s="346">
        <f>SUM(D55:O55)</f>
        <v>0</v>
      </c>
    </row>
    <row r="56" spans="2:17">
      <c r="B56" s="210"/>
      <c r="C56" s="214" t="s">
        <v>121</v>
      </c>
      <c r="D56" s="300"/>
      <c r="E56" s="300"/>
      <c r="F56" s="300"/>
      <c r="G56" s="300"/>
      <c r="H56" s="300"/>
      <c r="I56" s="300"/>
      <c r="J56" s="300"/>
      <c r="K56" s="300"/>
      <c r="L56" s="300"/>
      <c r="M56" s="300"/>
      <c r="N56" s="300"/>
      <c r="O56" s="300"/>
      <c r="P56" s="338">
        <f t="shared" ref="P56:P60" si="26">SUM(D56:O56)</f>
        <v>0</v>
      </c>
      <c r="Q56" s="145"/>
    </row>
    <row r="57" spans="2:17">
      <c r="B57" s="210"/>
      <c r="C57" s="215" t="s">
        <v>122</v>
      </c>
      <c r="D57" s="344">
        <f>D56*$G$8</f>
        <v>0</v>
      </c>
      <c r="E57" s="344">
        <f t="shared" ref="E57" si="27">E56*$G$8</f>
        <v>0</v>
      </c>
      <c r="F57" s="344">
        <f t="shared" ref="F57" si="28">F56*$G$8</f>
        <v>0</v>
      </c>
      <c r="G57" s="344">
        <f t="shared" ref="G57" si="29">G56*$G$8</f>
        <v>0</v>
      </c>
      <c r="H57" s="344">
        <f t="shared" ref="H57" si="30">H56*$G$8</f>
        <v>0</v>
      </c>
      <c r="I57" s="344">
        <f t="shared" ref="I57" si="31">I56*$G$8</f>
        <v>0</v>
      </c>
      <c r="J57" s="344">
        <f t="shared" ref="J57" si="32">J56*$G$8</f>
        <v>0</v>
      </c>
      <c r="K57" s="344">
        <f t="shared" ref="K57" si="33">K56*$G$8</f>
        <v>0</v>
      </c>
      <c r="L57" s="344">
        <f t="shared" ref="L57" si="34">L56*$G$8</f>
        <v>0</v>
      </c>
      <c r="M57" s="344">
        <f t="shared" ref="M57" si="35">M56*$G$8</f>
        <v>0</v>
      </c>
      <c r="N57" s="344">
        <f t="shared" ref="N57" si="36">N56*$G$8</f>
        <v>0</v>
      </c>
      <c r="O57" s="344">
        <f t="shared" ref="O57" si="37">O56*$G$8</f>
        <v>0</v>
      </c>
      <c r="P57" s="335">
        <f t="shared" si="26"/>
        <v>0</v>
      </c>
      <c r="Q57" s="145"/>
    </row>
    <row r="58" spans="2:17" ht="15.75" thickBot="1">
      <c r="B58" s="210"/>
      <c r="C58" s="216" t="s">
        <v>123</v>
      </c>
      <c r="D58" s="304"/>
      <c r="E58" s="304"/>
      <c r="F58" s="304"/>
      <c r="G58" s="304"/>
      <c r="H58" s="304"/>
      <c r="I58" s="304"/>
      <c r="J58" s="304"/>
      <c r="K58" s="304"/>
      <c r="L58" s="304"/>
      <c r="M58" s="304"/>
      <c r="N58" s="304"/>
      <c r="O58" s="304"/>
      <c r="P58" s="334">
        <f>SUM(D58:O58)</f>
        <v>0</v>
      </c>
      <c r="Q58" s="145"/>
    </row>
    <row r="59" spans="2:17">
      <c r="B59" s="210"/>
      <c r="C59" s="116" t="s">
        <v>124</v>
      </c>
      <c r="D59" s="305"/>
      <c r="E59" s="305"/>
      <c r="F59" s="305"/>
      <c r="G59" s="305"/>
      <c r="H59" s="305"/>
      <c r="I59" s="305"/>
      <c r="J59" s="305"/>
      <c r="K59" s="305"/>
      <c r="L59" s="305"/>
      <c r="M59" s="305"/>
      <c r="N59" s="305"/>
      <c r="O59" s="305"/>
      <c r="P59" s="335">
        <f t="shared" si="26"/>
        <v>0</v>
      </c>
      <c r="Q59" s="145"/>
    </row>
    <row r="60" spans="2:17" ht="14.85" customHeight="1">
      <c r="B60" s="210"/>
      <c r="C60" s="215" t="s">
        <v>125</v>
      </c>
      <c r="D60" s="344">
        <f>D59*$G$8</f>
        <v>0</v>
      </c>
      <c r="E60" s="344">
        <f t="shared" ref="E60" si="38">E59*$G$8</f>
        <v>0</v>
      </c>
      <c r="F60" s="344">
        <f t="shared" ref="F60" si="39">F59*$G$8</f>
        <v>0</v>
      </c>
      <c r="G60" s="344">
        <f t="shared" ref="G60" si="40">G59*$G$8</f>
        <v>0</v>
      </c>
      <c r="H60" s="344">
        <f t="shared" ref="H60" si="41">H59*$G$8</f>
        <v>0</v>
      </c>
      <c r="I60" s="344">
        <f t="shared" ref="I60" si="42">I59*$G$8</f>
        <v>0</v>
      </c>
      <c r="J60" s="344">
        <f t="shared" ref="J60" si="43">J59*$G$8</f>
        <v>0</v>
      </c>
      <c r="K60" s="344">
        <f t="shared" ref="K60" si="44">K59*$G$8</f>
        <v>0</v>
      </c>
      <c r="L60" s="344">
        <f t="shared" ref="L60" si="45">L59*$G$8</f>
        <v>0</v>
      </c>
      <c r="M60" s="344">
        <f t="shared" ref="M60" si="46">M59*$G$8</f>
        <v>0</v>
      </c>
      <c r="N60" s="344">
        <f t="shared" ref="N60" si="47">N59*$G$8</f>
        <v>0</v>
      </c>
      <c r="O60" s="344">
        <f t="shared" ref="O60" si="48">O59*$G$8</f>
        <v>0</v>
      </c>
      <c r="P60" s="338">
        <f t="shared" si="26"/>
        <v>0</v>
      </c>
    </row>
    <row r="61" spans="2:17" ht="14.85" customHeight="1" thickBot="1">
      <c r="B61" s="210"/>
      <c r="C61" s="216" t="s">
        <v>126</v>
      </c>
      <c r="D61" s="304"/>
      <c r="E61" s="304"/>
      <c r="F61" s="304"/>
      <c r="G61" s="304"/>
      <c r="H61" s="304"/>
      <c r="I61" s="304"/>
      <c r="J61" s="304"/>
      <c r="K61" s="304"/>
      <c r="L61" s="304"/>
      <c r="M61" s="304"/>
      <c r="N61" s="304"/>
      <c r="O61" s="304"/>
      <c r="P61" s="334">
        <f>SUM(D61:O61)</f>
        <v>0</v>
      </c>
    </row>
    <row r="62" spans="2:17" ht="14.85" customHeight="1" thickBot="1">
      <c r="B62" s="210"/>
      <c r="C62" s="217" t="s">
        <v>127</v>
      </c>
      <c r="D62" s="345">
        <f>D57+D58+D60+D61</f>
        <v>0</v>
      </c>
      <c r="E62" s="345">
        <f t="shared" ref="E62:O62" si="49">E57+E58+E60+E61</f>
        <v>0</v>
      </c>
      <c r="F62" s="345">
        <f t="shared" si="49"/>
        <v>0</v>
      </c>
      <c r="G62" s="345">
        <f t="shared" si="49"/>
        <v>0</v>
      </c>
      <c r="H62" s="345">
        <f t="shared" si="49"/>
        <v>0</v>
      </c>
      <c r="I62" s="345">
        <f t="shared" si="49"/>
        <v>0</v>
      </c>
      <c r="J62" s="345">
        <f t="shared" si="49"/>
        <v>0</v>
      </c>
      <c r="K62" s="345">
        <f t="shared" si="49"/>
        <v>0</v>
      </c>
      <c r="L62" s="345">
        <f t="shared" si="49"/>
        <v>0</v>
      </c>
      <c r="M62" s="345">
        <f t="shared" si="49"/>
        <v>0</v>
      </c>
      <c r="N62" s="345">
        <f t="shared" si="49"/>
        <v>0</v>
      </c>
      <c r="O62" s="345">
        <f t="shared" si="49"/>
        <v>0</v>
      </c>
      <c r="P62" s="346">
        <f t="shared" ref="P62:P63" si="50">SUM(D62:O62)</f>
        <v>0</v>
      </c>
    </row>
    <row r="63" spans="2:17" ht="15.75" thickBot="1">
      <c r="B63" s="210"/>
      <c r="C63" s="152" t="s">
        <v>128</v>
      </c>
      <c r="D63" s="345">
        <f t="shared" ref="D63:O63" si="51">D55+D62</f>
        <v>0</v>
      </c>
      <c r="E63" s="345">
        <f t="shared" si="51"/>
        <v>0</v>
      </c>
      <c r="F63" s="345">
        <f t="shared" si="51"/>
        <v>0</v>
      </c>
      <c r="G63" s="345">
        <f t="shared" si="51"/>
        <v>0</v>
      </c>
      <c r="H63" s="345">
        <f t="shared" si="51"/>
        <v>0</v>
      </c>
      <c r="I63" s="345">
        <f t="shared" si="51"/>
        <v>0</v>
      </c>
      <c r="J63" s="345">
        <f t="shared" si="51"/>
        <v>0</v>
      </c>
      <c r="K63" s="345">
        <f t="shared" si="51"/>
        <v>0</v>
      </c>
      <c r="L63" s="345">
        <f t="shared" si="51"/>
        <v>0</v>
      </c>
      <c r="M63" s="345">
        <f t="shared" si="51"/>
        <v>0</v>
      </c>
      <c r="N63" s="345">
        <f t="shared" si="51"/>
        <v>0</v>
      </c>
      <c r="O63" s="345">
        <f t="shared" si="51"/>
        <v>0</v>
      </c>
      <c r="P63" s="346">
        <f t="shared" si="50"/>
        <v>0</v>
      </c>
    </row>
    <row r="64" spans="2:17">
      <c r="B64" s="210"/>
      <c r="C64" s="218" t="s">
        <v>129</v>
      </c>
      <c r="D64" s="350" t="e">
        <f>D63/ÜLDANDMED!D29</f>
        <v>#DIV/0!</v>
      </c>
      <c r="E64" s="350" t="e">
        <f>E63/ÜLDANDMED!E29</f>
        <v>#DIV/0!</v>
      </c>
      <c r="F64" s="350" t="e">
        <f>F63/ÜLDANDMED!F29</f>
        <v>#DIV/0!</v>
      </c>
      <c r="G64" s="350" t="e">
        <f>G63/ÜLDANDMED!G29</f>
        <v>#DIV/0!</v>
      </c>
      <c r="H64" s="350" t="e">
        <f>H63/ÜLDANDMED!H29</f>
        <v>#DIV/0!</v>
      </c>
      <c r="I64" s="350" t="e">
        <f>I63/ÜLDANDMED!I29</f>
        <v>#DIV/0!</v>
      </c>
      <c r="J64" s="350" t="e">
        <f>J63/ÜLDANDMED!J29</f>
        <v>#DIV/0!</v>
      </c>
      <c r="K64" s="350" t="e">
        <f>K63/ÜLDANDMED!K29</f>
        <v>#DIV/0!</v>
      </c>
      <c r="L64" s="350" t="e">
        <f>L63/ÜLDANDMED!L29</f>
        <v>#DIV/0!</v>
      </c>
      <c r="M64" s="350" t="e">
        <f>M63/ÜLDANDMED!M29</f>
        <v>#DIV/0!</v>
      </c>
      <c r="N64" s="350" t="e">
        <f>N63/ÜLDANDMED!N29</f>
        <v>#DIV/0!</v>
      </c>
      <c r="O64" s="350" t="e">
        <f>O63/ÜLDANDMED!O29</f>
        <v>#DIV/0!</v>
      </c>
      <c r="P64" s="338" t="e">
        <f>P63/ööbimised_2025</f>
        <v>#DIV/0!</v>
      </c>
    </row>
    <row r="65" spans="2:21" ht="15.75" thickBot="1">
      <c r="B65" s="219"/>
      <c r="C65" s="220" t="s">
        <v>130</v>
      </c>
      <c r="D65" s="348" t="e">
        <f t="shared" ref="D65:P65" si="52">D55/D63</f>
        <v>#DIV/0!</v>
      </c>
      <c r="E65" s="348" t="e">
        <f t="shared" si="52"/>
        <v>#DIV/0!</v>
      </c>
      <c r="F65" s="348" t="e">
        <f t="shared" si="52"/>
        <v>#DIV/0!</v>
      </c>
      <c r="G65" s="348" t="e">
        <f t="shared" si="52"/>
        <v>#DIV/0!</v>
      </c>
      <c r="H65" s="348" t="e">
        <f t="shared" si="52"/>
        <v>#DIV/0!</v>
      </c>
      <c r="I65" s="348" t="e">
        <f t="shared" si="52"/>
        <v>#DIV/0!</v>
      </c>
      <c r="J65" s="348" t="e">
        <f t="shared" si="52"/>
        <v>#DIV/0!</v>
      </c>
      <c r="K65" s="348" t="e">
        <f t="shared" si="52"/>
        <v>#DIV/0!</v>
      </c>
      <c r="L65" s="348" t="e">
        <f t="shared" si="52"/>
        <v>#DIV/0!</v>
      </c>
      <c r="M65" s="348" t="e">
        <f t="shared" si="52"/>
        <v>#DIV/0!</v>
      </c>
      <c r="N65" s="348" t="e">
        <f t="shared" si="52"/>
        <v>#DIV/0!</v>
      </c>
      <c r="O65" s="348" t="e">
        <f t="shared" si="52"/>
        <v>#DIV/0!</v>
      </c>
      <c r="P65" s="349" t="e">
        <f t="shared" si="52"/>
        <v>#DIV/0!</v>
      </c>
      <c r="Q65" s="221"/>
    </row>
    <row r="66" spans="2:21" ht="14.85" customHeight="1">
      <c r="B66" s="226"/>
      <c r="C66" s="227"/>
      <c r="D66" s="21"/>
      <c r="E66" s="21"/>
      <c r="F66" s="21"/>
      <c r="G66" s="21"/>
      <c r="H66" s="21"/>
      <c r="I66" s="21"/>
      <c r="J66" s="21"/>
      <c r="K66" s="21"/>
      <c r="L66" s="21"/>
      <c r="M66" s="21"/>
      <c r="N66" s="21"/>
      <c r="O66" s="21"/>
      <c r="P66" s="1"/>
    </row>
    <row r="67" spans="2:21" ht="15.75" thickBot="1"/>
    <row r="68" spans="2:21">
      <c r="B68" s="653" t="s">
        <v>28</v>
      </c>
      <c r="C68" s="651" t="s">
        <v>52</v>
      </c>
      <c r="D68" s="659" t="s">
        <v>30</v>
      </c>
      <c r="E68" s="655" t="s">
        <v>31</v>
      </c>
      <c r="F68" s="655" t="s">
        <v>32</v>
      </c>
      <c r="G68" s="655" t="s">
        <v>33</v>
      </c>
      <c r="H68" s="655" t="s">
        <v>34</v>
      </c>
      <c r="I68" s="655" t="s">
        <v>35</v>
      </c>
      <c r="J68" s="655" t="s">
        <v>36</v>
      </c>
      <c r="K68" s="655" t="s">
        <v>37</v>
      </c>
      <c r="L68" s="655" t="s">
        <v>38</v>
      </c>
      <c r="M68" s="655" t="s">
        <v>39</v>
      </c>
      <c r="N68" s="655" t="s">
        <v>40</v>
      </c>
      <c r="O68" s="657" t="s">
        <v>41</v>
      </c>
      <c r="P68" s="653" t="s">
        <v>42</v>
      </c>
    </row>
    <row r="69" spans="2:21" ht="15.75" thickBot="1">
      <c r="B69" s="654"/>
      <c r="C69" s="652"/>
      <c r="D69" s="660"/>
      <c r="E69" s="656"/>
      <c r="F69" s="656"/>
      <c r="G69" s="656"/>
      <c r="H69" s="656"/>
      <c r="I69" s="656"/>
      <c r="J69" s="656"/>
      <c r="K69" s="656"/>
      <c r="L69" s="656"/>
      <c r="M69" s="656"/>
      <c r="N69" s="656"/>
      <c r="O69" s="658"/>
      <c r="P69" s="654"/>
    </row>
    <row r="70" spans="2:21" ht="14.85" customHeight="1">
      <c r="B70" s="210">
        <f>ÜLDANDMED!F14</f>
        <v>2026</v>
      </c>
      <c r="C70" s="225" t="s">
        <v>108</v>
      </c>
      <c r="D70" s="305"/>
      <c r="E70" s="305"/>
      <c r="F70" s="305"/>
      <c r="G70" s="305"/>
      <c r="H70" s="305"/>
      <c r="I70" s="305"/>
      <c r="J70" s="305"/>
      <c r="K70" s="305"/>
      <c r="L70" s="305"/>
      <c r="M70" s="305"/>
      <c r="N70" s="305"/>
      <c r="O70" s="305"/>
      <c r="P70" s="335">
        <f>SUM(D70:O70)</f>
        <v>0</v>
      </c>
    </row>
    <row r="71" spans="2:21" s="10" customFormat="1" ht="14.85" customHeight="1">
      <c r="B71" s="228"/>
      <c r="C71" s="212" t="s">
        <v>109</v>
      </c>
      <c r="D71" s="344">
        <f>D70*$G$4</f>
        <v>0</v>
      </c>
      <c r="E71" s="344">
        <f t="shared" ref="E71" si="53">E70*$G$4</f>
        <v>0</v>
      </c>
      <c r="F71" s="344">
        <f t="shared" ref="F71" si="54">F70*$G$4</f>
        <v>0</v>
      </c>
      <c r="G71" s="344">
        <f t="shared" ref="G71" si="55">G70*$G$4</f>
        <v>0</v>
      </c>
      <c r="H71" s="344">
        <f t="shared" ref="H71" si="56">H70*$G$4</f>
        <v>0</v>
      </c>
      <c r="I71" s="344">
        <f t="shared" ref="I71" si="57">I70*$G$4</f>
        <v>0</v>
      </c>
      <c r="J71" s="344">
        <f t="shared" ref="J71" si="58">J70*$G$4</f>
        <v>0</v>
      </c>
      <c r="K71" s="344">
        <f t="shared" ref="K71" si="59">K70*$G$4</f>
        <v>0</v>
      </c>
      <c r="L71" s="344">
        <f t="shared" ref="L71" si="60">L70*$G$4</f>
        <v>0</v>
      </c>
      <c r="M71" s="344">
        <f t="shared" ref="M71" si="61">M70*$G$4</f>
        <v>0</v>
      </c>
      <c r="N71" s="344">
        <f t="shared" ref="N71" si="62">N70*$G$4</f>
        <v>0</v>
      </c>
      <c r="O71" s="344">
        <f t="shared" ref="O71" si="63">O70*$G$4</f>
        <v>0</v>
      </c>
      <c r="P71" s="335">
        <f>SUM(D71:O71)</f>
        <v>0</v>
      </c>
    </row>
    <row r="72" spans="2:21" s="10" customFormat="1" ht="14.85" customHeight="1" thickBot="1">
      <c r="B72" s="210"/>
      <c r="C72" s="213" t="s">
        <v>110</v>
      </c>
      <c r="D72" s="304"/>
      <c r="E72" s="304"/>
      <c r="F72" s="304"/>
      <c r="G72" s="304"/>
      <c r="H72" s="304"/>
      <c r="I72" s="304"/>
      <c r="J72" s="304"/>
      <c r="K72" s="304"/>
      <c r="L72" s="304"/>
      <c r="M72" s="304"/>
      <c r="N72" s="304"/>
      <c r="O72" s="304"/>
      <c r="P72" s="334">
        <f>SUM(D72:O72)</f>
        <v>0</v>
      </c>
      <c r="R72" s="1"/>
      <c r="S72" s="1"/>
      <c r="T72" s="1"/>
      <c r="U72" s="1"/>
    </row>
    <row r="73" spans="2:21" s="10" customFormat="1" ht="14.85" customHeight="1">
      <c r="B73" s="210"/>
      <c r="C73" s="225" t="s">
        <v>111</v>
      </c>
      <c r="D73" s="305"/>
      <c r="E73" s="305"/>
      <c r="F73" s="305"/>
      <c r="G73" s="305"/>
      <c r="H73" s="305"/>
      <c r="I73" s="305"/>
      <c r="J73" s="305"/>
      <c r="K73" s="305"/>
      <c r="L73" s="305"/>
      <c r="M73" s="305"/>
      <c r="N73" s="305"/>
      <c r="O73" s="305"/>
      <c r="P73" s="335">
        <f t="shared" ref="P73:P80" si="64">SUM(D73:O73)</f>
        <v>0</v>
      </c>
      <c r="R73" s="1"/>
      <c r="S73" s="1"/>
      <c r="T73" s="1"/>
      <c r="U73" s="1"/>
    </row>
    <row r="74" spans="2:21" s="10" customFormat="1" ht="14.85" customHeight="1">
      <c r="B74" s="115"/>
      <c r="C74" s="212" t="s">
        <v>112</v>
      </c>
      <c r="D74" s="344">
        <f>D73*$G$5</f>
        <v>0</v>
      </c>
      <c r="E74" s="344">
        <f t="shared" ref="E74" si="65">E73*$G$5</f>
        <v>0</v>
      </c>
      <c r="F74" s="344">
        <f t="shared" ref="F74" si="66">F73*$G$5</f>
        <v>0</v>
      </c>
      <c r="G74" s="344">
        <f t="shared" ref="G74" si="67">G73*$G$5</f>
        <v>0</v>
      </c>
      <c r="H74" s="344">
        <f t="shared" ref="H74" si="68">H73*$G$5</f>
        <v>0</v>
      </c>
      <c r="I74" s="344">
        <f t="shared" ref="I74" si="69">I73*$G$5</f>
        <v>0</v>
      </c>
      <c r="J74" s="344">
        <f t="shared" ref="J74" si="70">J73*$G$5</f>
        <v>0</v>
      </c>
      <c r="K74" s="344">
        <f t="shared" ref="K74" si="71">K73*$G$5</f>
        <v>0</v>
      </c>
      <c r="L74" s="344">
        <f t="shared" ref="L74" si="72">L73*$G$5</f>
        <v>0</v>
      </c>
      <c r="M74" s="344">
        <f t="shared" ref="M74" si="73">M73*$G$5</f>
        <v>0</v>
      </c>
      <c r="N74" s="344">
        <f t="shared" ref="N74" si="74">N73*$G$5</f>
        <v>0</v>
      </c>
      <c r="O74" s="344">
        <f t="shared" ref="O74" si="75">O73*$G$5</f>
        <v>0</v>
      </c>
      <c r="P74" s="335">
        <f t="shared" si="64"/>
        <v>0</v>
      </c>
      <c r="R74" s="1"/>
      <c r="S74" s="1"/>
      <c r="T74" s="1"/>
      <c r="U74" s="1"/>
    </row>
    <row r="75" spans="2:21" s="10" customFormat="1" ht="14.85" customHeight="1" thickBot="1">
      <c r="B75" s="210"/>
      <c r="C75" s="213" t="s">
        <v>113</v>
      </c>
      <c r="D75" s="304"/>
      <c r="E75" s="304"/>
      <c r="F75" s="304"/>
      <c r="G75" s="304"/>
      <c r="H75" s="304"/>
      <c r="I75" s="304"/>
      <c r="J75" s="304"/>
      <c r="K75" s="304"/>
      <c r="L75" s="304"/>
      <c r="M75" s="304"/>
      <c r="N75" s="304"/>
      <c r="O75" s="304"/>
      <c r="P75" s="334">
        <f>SUM(D75:O75)</f>
        <v>0</v>
      </c>
      <c r="R75" s="1"/>
      <c r="S75" s="1"/>
      <c r="T75" s="1"/>
      <c r="U75" s="1"/>
    </row>
    <row r="76" spans="2:21" ht="14.85" customHeight="1">
      <c r="B76" s="229"/>
      <c r="C76" s="225" t="s">
        <v>114</v>
      </c>
      <c r="D76" s="305"/>
      <c r="E76" s="305"/>
      <c r="F76" s="305"/>
      <c r="G76" s="305"/>
      <c r="H76" s="305"/>
      <c r="I76" s="305"/>
      <c r="J76" s="305"/>
      <c r="K76" s="305"/>
      <c r="L76" s="305"/>
      <c r="M76" s="305"/>
      <c r="N76" s="305"/>
      <c r="O76" s="305"/>
      <c r="P76" s="335">
        <f t="shared" si="64"/>
        <v>0</v>
      </c>
    </row>
    <row r="77" spans="2:21" ht="14.85" customHeight="1">
      <c r="B77" s="117"/>
      <c r="C77" s="212" t="s">
        <v>115</v>
      </c>
      <c r="D77" s="344">
        <f>D76*$G$6</f>
        <v>0</v>
      </c>
      <c r="E77" s="344">
        <f t="shared" ref="E77" si="76">E76*$G$6</f>
        <v>0</v>
      </c>
      <c r="F77" s="344">
        <f t="shared" ref="F77" si="77">F76*$G$6</f>
        <v>0</v>
      </c>
      <c r="G77" s="344">
        <f t="shared" ref="G77" si="78">G76*$G$6</f>
        <v>0</v>
      </c>
      <c r="H77" s="344">
        <f t="shared" ref="H77" si="79">H76*$G$6</f>
        <v>0</v>
      </c>
      <c r="I77" s="344">
        <f t="shared" ref="I77" si="80">I76*$G$6</f>
        <v>0</v>
      </c>
      <c r="J77" s="344">
        <f t="shared" ref="J77" si="81">J76*$G$6</f>
        <v>0</v>
      </c>
      <c r="K77" s="344">
        <f t="shared" ref="K77" si="82">K76*$G$6</f>
        <v>0</v>
      </c>
      <c r="L77" s="344">
        <f t="shared" ref="L77" si="83">L76*$G$6</f>
        <v>0</v>
      </c>
      <c r="M77" s="344">
        <f t="shared" ref="M77" si="84">M76*$G$6</f>
        <v>0</v>
      </c>
      <c r="N77" s="344">
        <f t="shared" ref="N77" si="85">N76*$G$6</f>
        <v>0</v>
      </c>
      <c r="O77" s="344">
        <f t="shared" ref="O77" si="86">O76*$G$6</f>
        <v>0</v>
      </c>
      <c r="P77" s="335">
        <f t="shared" si="64"/>
        <v>0</v>
      </c>
    </row>
    <row r="78" spans="2:21" ht="14.85" customHeight="1" thickBot="1">
      <c r="B78" s="210"/>
      <c r="C78" s="213" t="s">
        <v>116</v>
      </c>
      <c r="D78" s="304"/>
      <c r="E78" s="304"/>
      <c r="F78" s="304"/>
      <c r="G78" s="304"/>
      <c r="H78" s="304"/>
      <c r="I78" s="304"/>
      <c r="J78" s="304"/>
      <c r="K78" s="304"/>
      <c r="L78" s="304"/>
      <c r="M78" s="304"/>
      <c r="N78" s="304"/>
      <c r="O78" s="304"/>
      <c r="P78" s="334">
        <f>SUM(D78:O78)</f>
        <v>0</v>
      </c>
    </row>
    <row r="79" spans="2:21" ht="14.85" customHeight="1">
      <c r="B79" s="117"/>
      <c r="C79" s="225" t="s">
        <v>117</v>
      </c>
      <c r="D79" s="305"/>
      <c r="E79" s="305"/>
      <c r="F79" s="305"/>
      <c r="G79" s="305"/>
      <c r="H79" s="305"/>
      <c r="I79" s="305"/>
      <c r="J79" s="305"/>
      <c r="K79" s="305"/>
      <c r="L79" s="305"/>
      <c r="M79" s="305"/>
      <c r="N79" s="305"/>
      <c r="O79" s="305"/>
      <c r="P79" s="335">
        <f t="shared" si="64"/>
        <v>0</v>
      </c>
    </row>
    <row r="80" spans="2:21" ht="14.85" customHeight="1">
      <c r="B80" s="117"/>
      <c r="C80" s="212" t="s">
        <v>118</v>
      </c>
      <c r="D80" s="344">
        <f>D79*$G$7</f>
        <v>0</v>
      </c>
      <c r="E80" s="344">
        <f t="shared" ref="E80" si="87">E79*$G$7</f>
        <v>0</v>
      </c>
      <c r="F80" s="344">
        <f t="shared" ref="F80" si="88">F79*$G$7</f>
        <v>0</v>
      </c>
      <c r="G80" s="344">
        <f t="shared" ref="G80" si="89">G79*$G$7</f>
        <v>0</v>
      </c>
      <c r="H80" s="344">
        <f t="shared" ref="H80" si="90">H79*$G$7</f>
        <v>0</v>
      </c>
      <c r="I80" s="344">
        <f t="shared" ref="I80" si="91">I79*$G$7</f>
        <v>0</v>
      </c>
      <c r="J80" s="344">
        <f t="shared" ref="J80" si="92">J79*$G$7</f>
        <v>0</v>
      </c>
      <c r="K80" s="344">
        <f t="shared" ref="K80" si="93">K79*$G$7</f>
        <v>0</v>
      </c>
      <c r="L80" s="344">
        <f t="shared" ref="L80" si="94">L79*$G$7</f>
        <v>0</v>
      </c>
      <c r="M80" s="344">
        <f t="shared" ref="M80" si="95">M79*$G$7</f>
        <v>0</v>
      </c>
      <c r="N80" s="344">
        <f t="shared" ref="N80" si="96">N79*$G$7</f>
        <v>0</v>
      </c>
      <c r="O80" s="344">
        <f t="shared" ref="O80" si="97">O79*$G$7</f>
        <v>0</v>
      </c>
      <c r="P80" s="335">
        <f t="shared" si="64"/>
        <v>0</v>
      </c>
    </row>
    <row r="81" spans="2:17" ht="14.85" customHeight="1" thickBot="1">
      <c r="B81" s="210"/>
      <c r="C81" s="213" t="s">
        <v>119</v>
      </c>
      <c r="D81" s="304"/>
      <c r="E81" s="304"/>
      <c r="F81" s="304"/>
      <c r="G81" s="304"/>
      <c r="H81" s="304"/>
      <c r="I81" s="304"/>
      <c r="J81" s="304"/>
      <c r="K81" s="304"/>
      <c r="L81" s="304"/>
      <c r="M81" s="304"/>
      <c r="N81" s="304"/>
      <c r="O81" s="304"/>
      <c r="P81" s="334">
        <f>SUM(D81:O81)</f>
        <v>0</v>
      </c>
    </row>
    <row r="82" spans="2:17" ht="15.75" thickBot="1">
      <c r="B82" s="117"/>
      <c r="C82" s="152" t="s">
        <v>120</v>
      </c>
      <c r="D82" s="345">
        <f>D77+D78+D74+D75+D80+D81+D71+D72</f>
        <v>0</v>
      </c>
      <c r="E82" s="345">
        <f t="shared" ref="E82:O82" si="98">E77+E78+E74+E75+E80+E81+E71+E72</f>
        <v>0</v>
      </c>
      <c r="F82" s="345">
        <f t="shared" si="98"/>
        <v>0</v>
      </c>
      <c r="G82" s="345">
        <f t="shared" si="98"/>
        <v>0</v>
      </c>
      <c r="H82" s="345">
        <f t="shared" si="98"/>
        <v>0</v>
      </c>
      <c r="I82" s="345">
        <f t="shared" si="98"/>
        <v>0</v>
      </c>
      <c r="J82" s="345">
        <f t="shared" si="98"/>
        <v>0</v>
      </c>
      <c r="K82" s="345">
        <f t="shared" si="98"/>
        <v>0</v>
      </c>
      <c r="L82" s="345">
        <f t="shared" si="98"/>
        <v>0</v>
      </c>
      <c r="M82" s="345">
        <f t="shared" si="98"/>
        <v>0</v>
      </c>
      <c r="N82" s="345">
        <f t="shared" si="98"/>
        <v>0</v>
      </c>
      <c r="O82" s="345">
        <f t="shared" si="98"/>
        <v>0</v>
      </c>
      <c r="P82" s="346">
        <f>SUM(D82:O82)</f>
        <v>0</v>
      </c>
    </row>
    <row r="83" spans="2:17">
      <c r="B83" s="210"/>
      <c r="C83" s="214" t="s">
        <v>121</v>
      </c>
      <c r="D83" s="300"/>
      <c r="E83" s="300"/>
      <c r="F83" s="300"/>
      <c r="G83" s="300"/>
      <c r="H83" s="300"/>
      <c r="I83" s="300"/>
      <c r="J83" s="300"/>
      <c r="K83" s="300"/>
      <c r="L83" s="300"/>
      <c r="M83" s="300"/>
      <c r="N83" s="300"/>
      <c r="O83" s="300"/>
      <c r="P83" s="338">
        <f t="shared" ref="P83:P89" si="99">SUM(D83:O83)</f>
        <v>0</v>
      </c>
      <c r="Q83" s="145"/>
    </row>
    <row r="84" spans="2:17">
      <c r="B84" s="210"/>
      <c r="C84" s="215" t="s">
        <v>122</v>
      </c>
      <c r="D84" s="344">
        <f>D83*$G$8</f>
        <v>0</v>
      </c>
      <c r="E84" s="344">
        <f t="shared" ref="E84" si="100">E83*$G$8</f>
        <v>0</v>
      </c>
      <c r="F84" s="344">
        <f t="shared" ref="F84" si="101">F83*$G$8</f>
        <v>0</v>
      </c>
      <c r="G84" s="344">
        <f t="shared" ref="G84" si="102">G83*$G$8</f>
        <v>0</v>
      </c>
      <c r="H84" s="344">
        <f t="shared" ref="H84" si="103">H83*$G$8</f>
        <v>0</v>
      </c>
      <c r="I84" s="344">
        <f t="shared" ref="I84" si="104">I83*$G$8</f>
        <v>0</v>
      </c>
      <c r="J84" s="344">
        <f t="shared" ref="J84" si="105">J83*$G$8</f>
        <v>0</v>
      </c>
      <c r="K84" s="344">
        <f t="shared" ref="K84" si="106">K83*$G$8</f>
        <v>0</v>
      </c>
      <c r="L84" s="344">
        <f t="shared" ref="L84" si="107">L83*$G$8</f>
        <v>0</v>
      </c>
      <c r="M84" s="344">
        <f t="shared" ref="M84" si="108">M83*$G$8</f>
        <v>0</v>
      </c>
      <c r="N84" s="344">
        <f t="shared" ref="N84" si="109">N83*$G$8</f>
        <v>0</v>
      </c>
      <c r="O84" s="344">
        <f t="shared" ref="O84" si="110">O83*$G$8</f>
        <v>0</v>
      </c>
      <c r="P84" s="335">
        <f t="shared" si="99"/>
        <v>0</v>
      </c>
      <c r="Q84" s="145"/>
    </row>
    <row r="85" spans="2:17" ht="15.75" thickBot="1">
      <c r="B85" s="210"/>
      <c r="C85" s="216" t="s">
        <v>123</v>
      </c>
      <c r="D85" s="304"/>
      <c r="E85" s="304"/>
      <c r="F85" s="304"/>
      <c r="G85" s="304"/>
      <c r="H85" s="304"/>
      <c r="I85" s="304"/>
      <c r="J85" s="304"/>
      <c r="K85" s="304"/>
      <c r="L85" s="304"/>
      <c r="M85" s="304"/>
      <c r="N85" s="304"/>
      <c r="O85" s="304"/>
      <c r="P85" s="334">
        <f>SUM(D85:O85)</f>
        <v>0</v>
      </c>
      <c r="Q85" s="145"/>
    </row>
    <row r="86" spans="2:17">
      <c r="B86" s="210"/>
      <c r="C86" s="116" t="s">
        <v>124</v>
      </c>
      <c r="D86" s="305"/>
      <c r="E86" s="305"/>
      <c r="F86" s="305"/>
      <c r="G86" s="305"/>
      <c r="H86" s="305"/>
      <c r="I86" s="305"/>
      <c r="J86" s="305"/>
      <c r="K86" s="305"/>
      <c r="L86" s="305"/>
      <c r="M86" s="305"/>
      <c r="N86" s="305"/>
      <c r="O86" s="305"/>
      <c r="P86" s="335">
        <f t="shared" si="99"/>
        <v>0</v>
      </c>
      <c r="Q86" s="145"/>
    </row>
    <row r="87" spans="2:17" ht="14.85" customHeight="1">
      <c r="B87" s="117"/>
      <c r="C87" s="215" t="s">
        <v>125</v>
      </c>
      <c r="D87" s="351">
        <f t="shared" ref="D87:O87" si="111">D86*$G$8</f>
        <v>0</v>
      </c>
      <c r="E87" s="351">
        <f t="shared" si="111"/>
        <v>0</v>
      </c>
      <c r="F87" s="351">
        <f t="shared" si="111"/>
        <v>0</v>
      </c>
      <c r="G87" s="351">
        <f t="shared" si="111"/>
        <v>0</v>
      </c>
      <c r="H87" s="351">
        <f t="shared" si="111"/>
        <v>0</v>
      </c>
      <c r="I87" s="351">
        <f t="shared" si="111"/>
        <v>0</v>
      </c>
      <c r="J87" s="351">
        <f t="shared" si="111"/>
        <v>0</v>
      </c>
      <c r="K87" s="351">
        <f t="shared" si="111"/>
        <v>0</v>
      </c>
      <c r="L87" s="351">
        <f t="shared" si="111"/>
        <v>0</v>
      </c>
      <c r="M87" s="351">
        <f t="shared" si="111"/>
        <v>0</v>
      </c>
      <c r="N87" s="351">
        <f t="shared" si="111"/>
        <v>0</v>
      </c>
      <c r="O87" s="351">
        <f t="shared" si="111"/>
        <v>0</v>
      </c>
      <c r="P87" s="338">
        <f t="shared" si="99"/>
        <v>0</v>
      </c>
    </row>
    <row r="88" spans="2:17" ht="14.85" customHeight="1" thickBot="1">
      <c r="B88" s="210"/>
      <c r="C88" s="216" t="s">
        <v>126</v>
      </c>
      <c r="D88" s="304"/>
      <c r="E88" s="304"/>
      <c r="F88" s="304"/>
      <c r="G88" s="304"/>
      <c r="H88" s="304"/>
      <c r="I88" s="304"/>
      <c r="J88" s="304"/>
      <c r="K88" s="304"/>
      <c r="L88" s="304"/>
      <c r="M88" s="304"/>
      <c r="N88" s="304"/>
      <c r="O88" s="304"/>
      <c r="P88" s="334">
        <f>SUM(D88:O88)</f>
        <v>0</v>
      </c>
    </row>
    <row r="89" spans="2:17" ht="14.85" customHeight="1" thickBot="1">
      <c r="B89" s="117"/>
      <c r="C89" s="217" t="s">
        <v>127</v>
      </c>
      <c r="D89" s="345">
        <f>D84+D85+D87+D88</f>
        <v>0</v>
      </c>
      <c r="E89" s="345">
        <f t="shared" ref="E89:O89" si="112">E84+E85+E87+E88</f>
        <v>0</v>
      </c>
      <c r="F89" s="345">
        <f t="shared" si="112"/>
        <v>0</v>
      </c>
      <c r="G89" s="345">
        <f t="shared" si="112"/>
        <v>0</v>
      </c>
      <c r="H89" s="345">
        <f t="shared" si="112"/>
        <v>0</v>
      </c>
      <c r="I89" s="345">
        <f t="shared" si="112"/>
        <v>0</v>
      </c>
      <c r="J89" s="345">
        <f t="shared" si="112"/>
        <v>0</v>
      </c>
      <c r="K89" s="345">
        <f t="shared" si="112"/>
        <v>0</v>
      </c>
      <c r="L89" s="345">
        <f t="shared" si="112"/>
        <v>0</v>
      </c>
      <c r="M89" s="345">
        <f t="shared" si="112"/>
        <v>0</v>
      </c>
      <c r="N89" s="345">
        <f t="shared" si="112"/>
        <v>0</v>
      </c>
      <c r="O89" s="345">
        <f t="shared" si="112"/>
        <v>0</v>
      </c>
      <c r="P89" s="346">
        <f t="shared" si="99"/>
        <v>0</v>
      </c>
    </row>
    <row r="90" spans="2:17" ht="15.75" thickBot="1">
      <c r="B90" s="117"/>
      <c r="C90" s="152" t="s">
        <v>128</v>
      </c>
      <c r="D90" s="352">
        <f t="shared" ref="D90:O90" si="113">D82+D89</f>
        <v>0</v>
      </c>
      <c r="E90" s="352">
        <f t="shared" si="113"/>
        <v>0</v>
      </c>
      <c r="F90" s="352">
        <f t="shared" si="113"/>
        <v>0</v>
      </c>
      <c r="G90" s="352">
        <f t="shared" si="113"/>
        <v>0</v>
      </c>
      <c r="H90" s="352">
        <f t="shared" si="113"/>
        <v>0</v>
      </c>
      <c r="I90" s="352">
        <f t="shared" si="113"/>
        <v>0</v>
      </c>
      <c r="J90" s="352">
        <f t="shared" si="113"/>
        <v>0</v>
      </c>
      <c r="K90" s="352">
        <f t="shared" si="113"/>
        <v>0</v>
      </c>
      <c r="L90" s="352">
        <f t="shared" si="113"/>
        <v>0</v>
      </c>
      <c r="M90" s="352">
        <f t="shared" si="113"/>
        <v>0</v>
      </c>
      <c r="N90" s="352">
        <f t="shared" si="113"/>
        <v>0</v>
      </c>
      <c r="O90" s="352">
        <f t="shared" si="113"/>
        <v>0</v>
      </c>
      <c r="P90" s="346">
        <f t="shared" ref="P90" si="114">SUM(D90:O90)</f>
        <v>0</v>
      </c>
    </row>
    <row r="91" spans="2:17">
      <c r="B91" s="117"/>
      <c r="C91" s="218" t="s">
        <v>129</v>
      </c>
      <c r="D91" s="353" t="e">
        <f>D90/ÜLDANDMED!D32</f>
        <v>#DIV/0!</v>
      </c>
      <c r="E91" s="353" t="e">
        <f>E90/ÜLDANDMED!E32</f>
        <v>#DIV/0!</v>
      </c>
      <c r="F91" s="353" t="e">
        <f>F90/ÜLDANDMED!F32</f>
        <v>#DIV/0!</v>
      </c>
      <c r="G91" s="353" t="e">
        <f>G90/ÜLDANDMED!G32</f>
        <v>#DIV/0!</v>
      </c>
      <c r="H91" s="353" t="e">
        <f>H90/ÜLDANDMED!H32</f>
        <v>#DIV/0!</v>
      </c>
      <c r="I91" s="353" t="e">
        <f>I90/ÜLDANDMED!I32</f>
        <v>#DIV/0!</v>
      </c>
      <c r="J91" s="353" t="e">
        <f>J90/ÜLDANDMED!J32</f>
        <v>#DIV/0!</v>
      </c>
      <c r="K91" s="353" t="e">
        <f>K90/ÜLDANDMED!K32</f>
        <v>#DIV/0!</v>
      </c>
      <c r="L91" s="353" t="e">
        <f>L90/ÜLDANDMED!L32</f>
        <v>#DIV/0!</v>
      </c>
      <c r="M91" s="353" t="e">
        <f>M90/ÜLDANDMED!M32</f>
        <v>#DIV/0!</v>
      </c>
      <c r="N91" s="353" t="e">
        <f>N90/ÜLDANDMED!N32</f>
        <v>#DIV/0!</v>
      </c>
      <c r="O91" s="353" t="e">
        <f>O90/ÜLDANDMED!O32</f>
        <v>#DIV/0!</v>
      </c>
      <c r="P91" s="338" t="e">
        <f>P90/ööbimised_2026</f>
        <v>#DIV/0!</v>
      </c>
    </row>
    <row r="92" spans="2:17" ht="15.75" thickBot="1">
      <c r="B92" s="164"/>
      <c r="C92" s="220" t="s">
        <v>130</v>
      </c>
      <c r="D92" s="348" t="e">
        <f t="shared" ref="D92:P92" si="115">D82/D90</f>
        <v>#DIV/0!</v>
      </c>
      <c r="E92" s="348" t="e">
        <f t="shared" si="115"/>
        <v>#DIV/0!</v>
      </c>
      <c r="F92" s="348" t="e">
        <f t="shared" si="115"/>
        <v>#DIV/0!</v>
      </c>
      <c r="G92" s="348" t="e">
        <f t="shared" si="115"/>
        <v>#DIV/0!</v>
      </c>
      <c r="H92" s="348" t="e">
        <f t="shared" si="115"/>
        <v>#DIV/0!</v>
      </c>
      <c r="I92" s="348" t="e">
        <f t="shared" si="115"/>
        <v>#DIV/0!</v>
      </c>
      <c r="J92" s="348" t="e">
        <f t="shared" si="115"/>
        <v>#DIV/0!</v>
      </c>
      <c r="K92" s="348" t="e">
        <f t="shared" si="115"/>
        <v>#DIV/0!</v>
      </c>
      <c r="L92" s="348" t="e">
        <f t="shared" si="115"/>
        <v>#DIV/0!</v>
      </c>
      <c r="M92" s="348" t="e">
        <f t="shared" si="115"/>
        <v>#DIV/0!</v>
      </c>
      <c r="N92" s="348" t="e">
        <f t="shared" si="115"/>
        <v>#DIV/0!</v>
      </c>
      <c r="O92" s="348" t="e">
        <f t="shared" si="115"/>
        <v>#DIV/0!</v>
      </c>
      <c r="P92" s="349" t="e">
        <f t="shared" si="115"/>
        <v>#DIV/0!</v>
      </c>
      <c r="Q92" s="221"/>
    </row>
    <row r="93" spans="2:17">
      <c r="D93" s="1"/>
      <c r="E93" s="1"/>
      <c r="F93" s="1"/>
      <c r="G93" s="1"/>
      <c r="H93" s="1"/>
      <c r="I93" s="1"/>
      <c r="J93" s="1"/>
      <c r="K93" s="1"/>
      <c r="L93" s="1"/>
      <c r="M93" s="1"/>
      <c r="N93" s="1"/>
      <c r="O93" s="1"/>
      <c r="P93" s="1"/>
    </row>
    <row r="94" spans="2:17" ht="14.85" customHeight="1" thickBot="1">
      <c r="D94" s="1"/>
      <c r="E94" s="1"/>
      <c r="F94" s="1"/>
      <c r="G94" s="1"/>
      <c r="H94" s="1"/>
      <c r="I94" s="1"/>
      <c r="J94" s="1"/>
      <c r="K94" s="1"/>
      <c r="L94" s="1"/>
      <c r="M94" s="1"/>
      <c r="N94" s="1"/>
      <c r="O94" s="1"/>
      <c r="P94" s="1"/>
    </row>
    <row r="95" spans="2:17">
      <c r="B95" s="653" t="s">
        <v>28</v>
      </c>
      <c r="C95" s="651" t="s">
        <v>52</v>
      </c>
      <c r="D95" s="659" t="s">
        <v>30</v>
      </c>
      <c r="E95" s="655" t="s">
        <v>31</v>
      </c>
      <c r="F95" s="655" t="s">
        <v>32</v>
      </c>
      <c r="G95" s="655" t="s">
        <v>33</v>
      </c>
      <c r="H95" s="655" t="s">
        <v>34</v>
      </c>
      <c r="I95" s="655" t="s">
        <v>35</v>
      </c>
      <c r="J95" s="655" t="s">
        <v>36</v>
      </c>
      <c r="K95" s="655" t="s">
        <v>37</v>
      </c>
      <c r="L95" s="655" t="s">
        <v>38</v>
      </c>
      <c r="M95" s="655" t="s">
        <v>39</v>
      </c>
      <c r="N95" s="655" t="s">
        <v>40</v>
      </c>
      <c r="O95" s="657" t="s">
        <v>41</v>
      </c>
      <c r="P95" s="653" t="s">
        <v>42</v>
      </c>
    </row>
    <row r="96" spans="2:17" ht="15.75" thickBot="1">
      <c r="B96" s="654"/>
      <c r="C96" s="652"/>
      <c r="D96" s="660"/>
      <c r="E96" s="656"/>
      <c r="F96" s="656"/>
      <c r="G96" s="656"/>
      <c r="H96" s="656"/>
      <c r="I96" s="656"/>
      <c r="J96" s="656"/>
      <c r="K96" s="656"/>
      <c r="L96" s="656"/>
      <c r="M96" s="656"/>
      <c r="N96" s="656"/>
      <c r="O96" s="658"/>
      <c r="P96" s="654"/>
    </row>
    <row r="97" spans="2:21" ht="14.85" customHeight="1">
      <c r="B97" s="224">
        <f>ÜLDANDMED!G14</f>
        <v>2027</v>
      </c>
      <c r="C97" s="225" t="s">
        <v>108</v>
      </c>
      <c r="D97" s="305"/>
      <c r="E97" s="305"/>
      <c r="F97" s="305"/>
      <c r="G97" s="305"/>
      <c r="H97" s="305"/>
      <c r="I97" s="305"/>
      <c r="J97" s="305"/>
      <c r="K97" s="305"/>
      <c r="L97" s="305"/>
      <c r="M97" s="305"/>
      <c r="N97" s="305"/>
      <c r="O97" s="305"/>
      <c r="P97" s="335">
        <f>SUM(D97:O97)</f>
        <v>0</v>
      </c>
    </row>
    <row r="98" spans="2:21" s="10" customFormat="1" ht="14.85" customHeight="1">
      <c r="B98" s="210"/>
      <c r="C98" s="212" t="s">
        <v>109</v>
      </c>
      <c r="D98" s="351">
        <f>D97*$G$4</f>
        <v>0</v>
      </c>
      <c r="E98" s="351">
        <f t="shared" ref="E98" si="116">E97*$G$4</f>
        <v>0</v>
      </c>
      <c r="F98" s="351">
        <f t="shared" ref="F98" si="117">F97*$G$4</f>
        <v>0</v>
      </c>
      <c r="G98" s="351">
        <f t="shared" ref="G98" si="118">G97*$G$4</f>
        <v>0</v>
      </c>
      <c r="H98" s="351">
        <f t="shared" ref="H98" si="119">H97*$G$4</f>
        <v>0</v>
      </c>
      <c r="I98" s="351">
        <f t="shared" ref="I98" si="120">I97*$G$4</f>
        <v>0</v>
      </c>
      <c r="J98" s="351">
        <f t="shared" ref="J98" si="121">J97*$G$4</f>
        <v>0</v>
      </c>
      <c r="K98" s="351">
        <f t="shared" ref="K98" si="122">K97*$G$4</f>
        <v>0</v>
      </c>
      <c r="L98" s="351">
        <f t="shared" ref="L98" si="123">L97*$G$4</f>
        <v>0</v>
      </c>
      <c r="M98" s="351">
        <f t="shared" ref="M98" si="124">M97*$G$4</f>
        <v>0</v>
      </c>
      <c r="N98" s="351">
        <f t="shared" ref="N98" si="125">N97*$G$4</f>
        <v>0</v>
      </c>
      <c r="O98" s="351">
        <f t="shared" ref="O98" si="126">O97*$G$4</f>
        <v>0</v>
      </c>
      <c r="P98" s="335">
        <f>SUM(D98:O98)</f>
        <v>0</v>
      </c>
    </row>
    <row r="99" spans="2:21" s="10" customFormat="1" ht="14.85" customHeight="1" thickBot="1">
      <c r="B99" s="210"/>
      <c r="C99" s="213" t="s">
        <v>110</v>
      </c>
      <c r="D99" s="304"/>
      <c r="E99" s="304"/>
      <c r="F99" s="304"/>
      <c r="G99" s="304"/>
      <c r="H99" s="304"/>
      <c r="I99" s="304"/>
      <c r="J99" s="304"/>
      <c r="K99" s="304"/>
      <c r="L99" s="304"/>
      <c r="M99" s="304"/>
      <c r="N99" s="304"/>
      <c r="O99" s="304"/>
      <c r="P99" s="334">
        <f>SUM(D99:O99)</f>
        <v>0</v>
      </c>
      <c r="R99" s="1"/>
      <c r="S99" s="1"/>
      <c r="T99" s="1"/>
      <c r="U99" s="1"/>
    </row>
    <row r="100" spans="2:21" s="10" customFormat="1" ht="14.85" customHeight="1">
      <c r="B100" s="210"/>
      <c r="C100" s="225" t="s">
        <v>111</v>
      </c>
      <c r="D100" s="305"/>
      <c r="E100" s="305"/>
      <c r="F100" s="305"/>
      <c r="G100" s="305"/>
      <c r="H100" s="305"/>
      <c r="I100" s="305"/>
      <c r="J100" s="305"/>
      <c r="K100" s="305"/>
      <c r="L100" s="305"/>
      <c r="M100" s="305"/>
      <c r="N100" s="305"/>
      <c r="O100" s="305"/>
      <c r="P100" s="335">
        <f t="shared" ref="P100:P107" si="127">SUM(D100:O100)</f>
        <v>0</v>
      </c>
      <c r="R100" s="1"/>
      <c r="S100" s="1"/>
      <c r="T100" s="1"/>
      <c r="U100" s="1"/>
    </row>
    <row r="101" spans="2:21" s="10" customFormat="1" ht="14.85" customHeight="1">
      <c r="B101" s="115"/>
      <c r="C101" s="212" t="s">
        <v>112</v>
      </c>
      <c r="D101" s="351">
        <f>D100*$G$5</f>
        <v>0</v>
      </c>
      <c r="E101" s="351">
        <f t="shared" ref="E101" si="128">E100*$G$5</f>
        <v>0</v>
      </c>
      <c r="F101" s="351">
        <f t="shared" ref="F101" si="129">F100*$G$5</f>
        <v>0</v>
      </c>
      <c r="G101" s="351">
        <f t="shared" ref="G101" si="130">G100*$G$5</f>
        <v>0</v>
      </c>
      <c r="H101" s="351">
        <f t="shared" ref="H101" si="131">H100*$G$5</f>
        <v>0</v>
      </c>
      <c r="I101" s="351">
        <f t="shared" ref="I101" si="132">I100*$G$5</f>
        <v>0</v>
      </c>
      <c r="J101" s="351">
        <f t="shared" ref="J101" si="133">J100*$G$5</f>
        <v>0</v>
      </c>
      <c r="K101" s="351">
        <f t="shared" ref="K101" si="134">K100*$G$5</f>
        <v>0</v>
      </c>
      <c r="L101" s="351">
        <f t="shared" ref="L101" si="135">L100*$G$5</f>
        <v>0</v>
      </c>
      <c r="M101" s="351">
        <f t="shared" ref="M101" si="136">M100*$G$5</f>
        <v>0</v>
      </c>
      <c r="N101" s="351">
        <f t="shared" ref="N101" si="137">N100*$G$5</f>
        <v>0</v>
      </c>
      <c r="O101" s="351">
        <f t="shared" ref="O101" si="138">O100*$G$5</f>
        <v>0</v>
      </c>
      <c r="P101" s="335">
        <f t="shared" si="127"/>
        <v>0</v>
      </c>
      <c r="R101" s="1"/>
      <c r="S101" s="1"/>
      <c r="T101" s="1"/>
      <c r="U101" s="1"/>
    </row>
    <row r="102" spans="2:21" s="10" customFormat="1" ht="14.85" customHeight="1" thickBot="1">
      <c r="B102" s="210"/>
      <c r="C102" s="213" t="s">
        <v>113</v>
      </c>
      <c r="D102" s="304"/>
      <c r="E102" s="304"/>
      <c r="F102" s="304"/>
      <c r="G102" s="304"/>
      <c r="H102" s="304"/>
      <c r="I102" s="304"/>
      <c r="J102" s="304"/>
      <c r="K102" s="304"/>
      <c r="L102" s="304"/>
      <c r="M102" s="304"/>
      <c r="N102" s="304"/>
      <c r="O102" s="304"/>
      <c r="P102" s="334">
        <f>SUM(D102:O102)</f>
        <v>0</v>
      </c>
      <c r="R102" s="1"/>
      <c r="S102" s="1"/>
      <c r="T102" s="1"/>
      <c r="U102" s="1"/>
    </row>
    <row r="103" spans="2:21" ht="14.85" customHeight="1">
      <c r="B103" s="229"/>
      <c r="C103" s="225" t="s">
        <v>114</v>
      </c>
      <c r="D103" s="305"/>
      <c r="E103" s="305"/>
      <c r="F103" s="305"/>
      <c r="G103" s="305"/>
      <c r="H103" s="305"/>
      <c r="I103" s="305"/>
      <c r="J103" s="305"/>
      <c r="K103" s="305"/>
      <c r="L103" s="305"/>
      <c r="M103" s="305"/>
      <c r="N103" s="305"/>
      <c r="O103" s="305"/>
      <c r="P103" s="335">
        <f t="shared" si="127"/>
        <v>0</v>
      </c>
    </row>
    <row r="104" spans="2:21" ht="14.85" customHeight="1">
      <c r="B104" s="210"/>
      <c r="C104" s="212" t="s">
        <v>115</v>
      </c>
      <c r="D104" s="351">
        <f>D103*$G$6</f>
        <v>0</v>
      </c>
      <c r="E104" s="351">
        <f t="shared" ref="E104" si="139">E103*$G$6</f>
        <v>0</v>
      </c>
      <c r="F104" s="351">
        <f t="shared" ref="F104" si="140">F103*$G$6</f>
        <v>0</v>
      </c>
      <c r="G104" s="351">
        <f t="shared" ref="G104" si="141">G103*$G$6</f>
        <v>0</v>
      </c>
      <c r="H104" s="351">
        <f t="shared" ref="H104" si="142">H103*$G$6</f>
        <v>0</v>
      </c>
      <c r="I104" s="351">
        <f t="shared" ref="I104" si="143">I103*$G$6</f>
        <v>0</v>
      </c>
      <c r="J104" s="351">
        <f t="shared" ref="J104" si="144">J103*$G$6</f>
        <v>0</v>
      </c>
      <c r="K104" s="351">
        <f t="shared" ref="K104" si="145">K103*$G$6</f>
        <v>0</v>
      </c>
      <c r="L104" s="351">
        <f t="shared" ref="L104" si="146">L103*$G$6</f>
        <v>0</v>
      </c>
      <c r="M104" s="351">
        <f t="shared" ref="M104" si="147">M103*$G$6</f>
        <v>0</v>
      </c>
      <c r="N104" s="351">
        <f t="shared" ref="N104" si="148">N103*$G$6</f>
        <v>0</v>
      </c>
      <c r="O104" s="351">
        <f t="shared" ref="O104" si="149">O103*$G$6</f>
        <v>0</v>
      </c>
      <c r="P104" s="335">
        <f t="shared" si="127"/>
        <v>0</v>
      </c>
    </row>
    <row r="105" spans="2:21" ht="14.85" customHeight="1" thickBot="1">
      <c r="B105" s="210"/>
      <c r="C105" s="213" t="s">
        <v>116</v>
      </c>
      <c r="D105" s="304"/>
      <c r="E105" s="304"/>
      <c r="F105" s="304"/>
      <c r="G105" s="304"/>
      <c r="H105" s="304"/>
      <c r="I105" s="304"/>
      <c r="J105" s="304"/>
      <c r="K105" s="304"/>
      <c r="L105" s="304"/>
      <c r="M105" s="304"/>
      <c r="N105" s="304"/>
      <c r="O105" s="304"/>
      <c r="P105" s="334">
        <f>SUM(D105:O105)</f>
        <v>0</v>
      </c>
    </row>
    <row r="106" spans="2:21" ht="14.85" customHeight="1">
      <c r="B106" s="210"/>
      <c r="C106" s="225" t="s">
        <v>117</v>
      </c>
      <c r="D106" s="305"/>
      <c r="E106" s="305"/>
      <c r="F106" s="305"/>
      <c r="G106" s="305"/>
      <c r="H106" s="305"/>
      <c r="I106" s="305"/>
      <c r="J106" s="305"/>
      <c r="K106" s="305"/>
      <c r="L106" s="305"/>
      <c r="M106" s="305"/>
      <c r="N106" s="305"/>
      <c r="O106" s="305"/>
      <c r="P106" s="335">
        <f t="shared" si="127"/>
        <v>0</v>
      </c>
    </row>
    <row r="107" spans="2:21" ht="14.85" customHeight="1">
      <c r="B107" s="210"/>
      <c r="C107" s="212" t="s">
        <v>118</v>
      </c>
      <c r="D107" s="351">
        <f>D106*$G$7</f>
        <v>0</v>
      </c>
      <c r="E107" s="351">
        <f t="shared" ref="E107" si="150">E106*$G$7</f>
        <v>0</v>
      </c>
      <c r="F107" s="351">
        <f t="shared" ref="F107" si="151">F106*$G$7</f>
        <v>0</v>
      </c>
      <c r="G107" s="351">
        <f t="shared" ref="G107" si="152">G106*$G$7</f>
        <v>0</v>
      </c>
      <c r="H107" s="351">
        <f t="shared" ref="H107" si="153">H106*$G$7</f>
        <v>0</v>
      </c>
      <c r="I107" s="351">
        <f t="shared" ref="I107" si="154">I106*$G$7</f>
        <v>0</v>
      </c>
      <c r="J107" s="351">
        <f t="shared" ref="J107" si="155">J106*$G$7</f>
        <v>0</v>
      </c>
      <c r="K107" s="351">
        <f t="shared" ref="K107" si="156">K106*$G$7</f>
        <v>0</v>
      </c>
      <c r="L107" s="351">
        <f t="shared" ref="L107" si="157">L106*$G$7</f>
        <v>0</v>
      </c>
      <c r="M107" s="351">
        <f t="shared" ref="M107" si="158">M106*$G$7</f>
        <v>0</v>
      </c>
      <c r="N107" s="351">
        <f t="shared" ref="N107" si="159">N106*$G$7</f>
        <v>0</v>
      </c>
      <c r="O107" s="351">
        <f t="shared" ref="O107" si="160">O106*$G$7</f>
        <v>0</v>
      </c>
      <c r="P107" s="335">
        <f t="shared" si="127"/>
        <v>0</v>
      </c>
    </row>
    <row r="108" spans="2:21" ht="14.85" customHeight="1" thickBot="1">
      <c r="B108" s="210"/>
      <c r="C108" s="213" t="s">
        <v>119</v>
      </c>
      <c r="D108" s="304"/>
      <c r="E108" s="304"/>
      <c r="F108" s="304"/>
      <c r="G108" s="304"/>
      <c r="H108" s="304"/>
      <c r="I108" s="304"/>
      <c r="J108" s="304"/>
      <c r="K108" s="304"/>
      <c r="L108" s="304"/>
      <c r="M108" s="304"/>
      <c r="N108" s="304"/>
      <c r="O108" s="304"/>
      <c r="P108" s="334">
        <f>SUM(D108:O108)</f>
        <v>0</v>
      </c>
    </row>
    <row r="109" spans="2:21" ht="15.75" thickBot="1">
      <c r="B109" s="210"/>
      <c r="C109" s="152" t="s">
        <v>120</v>
      </c>
      <c r="D109" s="345">
        <f>D104+D105+D101+D102+D107+D108+D98+D99</f>
        <v>0</v>
      </c>
      <c r="E109" s="345">
        <f t="shared" ref="E109:O109" si="161">E104+E105+E101+E102+E107+E108+E98+E99</f>
        <v>0</v>
      </c>
      <c r="F109" s="345">
        <f t="shared" si="161"/>
        <v>0</v>
      </c>
      <c r="G109" s="345">
        <f t="shared" si="161"/>
        <v>0</v>
      </c>
      <c r="H109" s="345">
        <f t="shared" si="161"/>
        <v>0</v>
      </c>
      <c r="I109" s="345">
        <f t="shared" si="161"/>
        <v>0</v>
      </c>
      <c r="J109" s="345">
        <f t="shared" si="161"/>
        <v>0</v>
      </c>
      <c r="K109" s="345">
        <f t="shared" si="161"/>
        <v>0</v>
      </c>
      <c r="L109" s="345">
        <f t="shared" si="161"/>
        <v>0</v>
      </c>
      <c r="M109" s="345">
        <f t="shared" si="161"/>
        <v>0</v>
      </c>
      <c r="N109" s="345">
        <f t="shared" si="161"/>
        <v>0</v>
      </c>
      <c r="O109" s="345">
        <f t="shared" si="161"/>
        <v>0</v>
      </c>
      <c r="P109" s="346">
        <f>SUM(D109:O109)</f>
        <v>0</v>
      </c>
    </row>
    <row r="110" spans="2:21">
      <c r="B110" s="210"/>
      <c r="C110" s="214" t="s">
        <v>121</v>
      </c>
      <c r="D110" s="300"/>
      <c r="E110" s="300"/>
      <c r="F110" s="300"/>
      <c r="G110" s="300"/>
      <c r="H110" s="300"/>
      <c r="I110" s="300"/>
      <c r="J110" s="300"/>
      <c r="K110" s="300"/>
      <c r="L110" s="300"/>
      <c r="M110" s="300"/>
      <c r="N110" s="300"/>
      <c r="O110" s="300"/>
      <c r="P110" s="338">
        <f t="shared" ref="P110:P117" si="162">SUM(D110:O110)</f>
        <v>0</v>
      </c>
      <c r="Q110" s="145"/>
    </row>
    <row r="111" spans="2:21">
      <c r="B111" s="210"/>
      <c r="C111" s="215" t="s">
        <v>122</v>
      </c>
      <c r="D111" s="351">
        <f>D110*$G$8</f>
        <v>0</v>
      </c>
      <c r="E111" s="351">
        <f t="shared" ref="E111" si="163">E110*$G$8</f>
        <v>0</v>
      </c>
      <c r="F111" s="351">
        <f t="shared" ref="F111" si="164">F110*$G$8</f>
        <v>0</v>
      </c>
      <c r="G111" s="351">
        <f t="shared" ref="G111" si="165">G110*$G$8</f>
        <v>0</v>
      </c>
      <c r="H111" s="351">
        <f t="shared" ref="H111" si="166">H110*$G$8</f>
        <v>0</v>
      </c>
      <c r="I111" s="351">
        <f t="shared" ref="I111" si="167">I110*$G$8</f>
        <v>0</v>
      </c>
      <c r="J111" s="351">
        <f t="shared" ref="J111" si="168">J110*$G$8</f>
        <v>0</v>
      </c>
      <c r="K111" s="351">
        <f t="shared" ref="K111" si="169">K110*$G$8</f>
        <v>0</v>
      </c>
      <c r="L111" s="351">
        <f t="shared" ref="L111" si="170">L110*$G$8</f>
        <v>0</v>
      </c>
      <c r="M111" s="351">
        <f t="shared" ref="M111" si="171">M110*$G$8</f>
        <v>0</v>
      </c>
      <c r="N111" s="351">
        <f t="shared" ref="N111" si="172">N110*$G$8</f>
        <v>0</v>
      </c>
      <c r="O111" s="351">
        <f t="shared" ref="O111" si="173">O110*$G$8</f>
        <v>0</v>
      </c>
      <c r="P111" s="335">
        <f t="shared" si="162"/>
        <v>0</v>
      </c>
      <c r="Q111" s="145"/>
    </row>
    <row r="112" spans="2:21" ht="15.75" thickBot="1">
      <c r="B112" s="210"/>
      <c r="C112" s="216" t="s">
        <v>123</v>
      </c>
      <c r="D112" s="304"/>
      <c r="E112" s="304"/>
      <c r="F112" s="304"/>
      <c r="G112" s="304"/>
      <c r="H112" s="304"/>
      <c r="I112" s="304"/>
      <c r="J112" s="304"/>
      <c r="K112" s="304"/>
      <c r="L112" s="304"/>
      <c r="M112" s="304"/>
      <c r="N112" s="304"/>
      <c r="O112" s="304"/>
      <c r="P112" s="334">
        <f>SUM(D112:O112)</f>
        <v>0</v>
      </c>
      <c r="Q112" s="145"/>
    </row>
    <row r="113" spans="2:21">
      <c r="B113" s="210"/>
      <c r="C113" s="116" t="s">
        <v>124</v>
      </c>
      <c r="D113" s="305"/>
      <c r="E113" s="305"/>
      <c r="F113" s="305"/>
      <c r="G113" s="305"/>
      <c r="H113" s="305"/>
      <c r="I113" s="305"/>
      <c r="J113" s="305"/>
      <c r="K113" s="305"/>
      <c r="L113" s="305"/>
      <c r="M113" s="305"/>
      <c r="N113" s="305"/>
      <c r="O113" s="305"/>
      <c r="P113" s="335">
        <f t="shared" si="162"/>
        <v>0</v>
      </c>
      <c r="Q113" s="145"/>
    </row>
    <row r="114" spans="2:21" ht="14.85" customHeight="1">
      <c r="B114" s="210"/>
      <c r="C114" s="215" t="s">
        <v>125</v>
      </c>
      <c r="D114" s="351">
        <f t="shared" ref="D114:O114" si="174">D113*$G$8</f>
        <v>0</v>
      </c>
      <c r="E114" s="351">
        <f t="shared" si="174"/>
        <v>0</v>
      </c>
      <c r="F114" s="351">
        <f t="shared" si="174"/>
        <v>0</v>
      </c>
      <c r="G114" s="351">
        <f t="shared" si="174"/>
        <v>0</v>
      </c>
      <c r="H114" s="351">
        <f t="shared" si="174"/>
        <v>0</v>
      </c>
      <c r="I114" s="351">
        <f t="shared" si="174"/>
        <v>0</v>
      </c>
      <c r="J114" s="351">
        <f t="shared" si="174"/>
        <v>0</v>
      </c>
      <c r="K114" s="351">
        <f t="shared" si="174"/>
        <v>0</v>
      </c>
      <c r="L114" s="351">
        <f t="shared" si="174"/>
        <v>0</v>
      </c>
      <c r="M114" s="351">
        <f t="shared" si="174"/>
        <v>0</v>
      </c>
      <c r="N114" s="351">
        <f t="shared" si="174"/>
        <v>0</v>
      </c>
      <c r="O114" s="351">
        <f t="shared" si="174"/>
        <v>0</v>
      </c>
      <c r="P114" s="338">
        <f t="shared" si="162"/>
        <v>0</v>
      </c>
    </row>
    <row r="115" spans="2:21" ht="14.85" customHeight="1" thickBot="1">
      <c r="B115" s="210"/>
      <c r="C115" s="216" t="s">
        <v>126</v>
      </c>
      <c r="D115" s="304"/>
      <c r="E115" s="304"/>
      <c r="F115" s="304"/>
      <c r="G115" s="304"/>
      <c r="H115" s="304"/>
      <c r="I115" s="304"/>
      <c r="J115" s="304"/>
      <c r="K115" s="304"/>
      <c r="L115" s="304"/>
      <c r="M115" s="304"/>
      <c r="N115" s="304"/>
      <c r="O115" s="304"/>
      <c r="P115" s="334">
        <f>SUM(D115:O115)</f>
        <v>0</v>
      </c>
    </row>
    <row r="116" spans="2:21" ht="14.85" customHeight="1" thickBot="1">
      <c r="B116" s="210"/>
      <c r="C116" s="217" t="s">
        <v>127</v>
      </c>
      <c r="D116" s="345">
        <f>D111+D112+D114+D115</f>
        <v>0</v>
      </c>
      <c r="E116" s="345">
        <f t="shared" ref="E116:O116" si="175">E111+E112+E114+E115</f>
        <v>0</v>
      </c>
      <c r="F116" s="345">
        <f t="shared" si="175"/>
        <v>0</v>
      </c>
      <c r="G116" s="345">
        <f t="shared" si="175"/>
        <v>0</v>
      </c>
      <c r="H116" s="345">
        <f t="shared" si="175"/>
        <v>0</v>
      </c>
      <c r="I116" s="345">
        <f t="shared" si="175"/>
        <v>0</v>
      </c>
      <c r="J116" s="345">
        <f t="shared" si="175"/>
        <v>0</v>
      </c>
      <c r="K116" s="345">
        <f t="shared" si="175"/>
        <v>0</v>
      </c>
      <c r="L116" s="345">
        <f t="shared" si="175"/>
        <v>0</v>
      </c>
      <c r="M116" s="345">
        <f t="shared" si="175"/>
        <v>0</v>
      </c>
      <c r="N116" s="345">
        <f t="shared" si="175"/>
        <v>0</v>
      </c>
      <c r="O116" s="345">
        <f t="shared" si="175"/>
        <v>0</v>
      </c>
      <c r="P116" s="346">
        <f t="shared" si="162"/>
        <v>0</v>
      </c>
    </row>
    <row r="117" spans="2:21" ht="15.75" thickBot="1">
      <c r="B117" s="210"/>
      <c r="C117" s="152" t="s">
        <v>128</v>
      </c>
      <c r="D117" s="352">
        <f t="shared" ref="D117:O117" si="176">D109+D116</f>
        <v>0</v>
      </c>
      <c r="E117" s="352">
        <f t="shared" si="176"/>
        <v>0</v>
      </c>
      <c r="F117" s="352">
        <f t="shared" si="176"/>
        <v>0</v>
      </c>
      <c r="G117" s="352">
        <f t="shared" si="176"/>
        <v>0</v>
      </c>
      <c r="H117" s="352">
        <f t="shared" si="176"/>
        <v>0</v>
      </c>
      <c r="I117" s="352">
        <f t="shared" si="176"/>
        <v>0</v>
      </c>
      <c r="J117" s="352">
        <f t="shared" si="176"/>
        <v>0</v>
      </c>
      <c r="K117" s="352">
        <f t="shared" si="176"/>
        <v>0</v>
      </c>
      <c r="L117" s="352">
        <f t="shared" si="176"/>
        <v>0</v>
      </c>
      <c r="M117" s="352">
        <f t="shared" si="176"/>
        <v>0</v>
      </c>
      <c r="N117" s="352">
        <f t="shared" si="176"/>
        <v>0</v>
      </c>
      <c r="O117" s="352">
        <f t="shared" si="176"/>
        <v>0</v>
      </c>
      <c r="P117" s="346">
        <f t="shared" si="162"/>
        <v>0</v>
      </c>
    </row>
    <row r="118" spans="2:21">
      <c r="B118" s="210"/>
      <c r="C118" s="218" t="s">
        <v>129</v>
      </c>
      <c r="D118" s="353" t="e">
        <f>D117/ÜLDANDMED!D35</f>
        <v>#DIV/0!</v>
      </c>
      <c r="E118" s="353" t="e">
        <f>E117/ÜLDANDMED!E35</f>
        <v>#DIV/0!</v>
      </c>
      <c r="F118" s="353" t="e">
        <f>F117/ÜLDANDMED!F35</f>
        <v>#DIV/0!</v>
      </c>
      <c r="G118" s="353" t="e">
        <f>G117/ÜLDANDMED!G35</f>
        <v>#DIV/0!</v>
      </c>
      <c r="H118" s="353" t="e">
        <f>H117/ÜLDANDMED!H35</f>
        <v>#DIV/0!</v>
      </c>
      <c r="I118" s="353" t="e">
        <f>I117/ÜLDANDMED!I35</f>
        <v>#DIV/0!</v>
      </c>
      <c r="J118" s="353" t="e">
        <f>J117/ÜLDANDMED!J35</f>
        <v>#DIV/0!</v>
      </c>
      <c r="K118" s="353" t="e">
        <f>K117/ÜLDANDMED!K35</f>
        <v>#DIV/0!</v>
      </c>
      <c r="L118" s="353" t="e">
        <f>L117/ÜLDANDMED!L35</f>
        <v>#DIV/0!</v>
      </c>
      <c r="M118" s="353" t="e">
        <f>M117/ÜLDANDMED!M35</f>
        <v>#DIV/0!</v>
      </c>
      <c r="N118" s="353" t="e">
        <f>N117/ÜLDANDMED!N35</f>
        <v>#DIV/0!</v>
      </c>
      <c r="O118" s="353" t="e">
        <f>O117/ÜLDANDMED!O35</f>
        <v>#DIV/0!</v>
      </c>
      <c r="P118" s="338" t="e">
        <f>P117/ööbimised_2027</f>
        <v>#DIV/0!</v>
      </c>
    </row>
    <row r="119" spans="2:21" ht="15.75" thickBot="1">
      <c r="B119" s="219"/>
      <c r="C119" s="220" t="s">
        <v>130</v>
      </c>
      <c r="D119" s="348" t="e">
        <f t="shared" ref="D119:P119" si="177">D109/D117</f>
        <v>#DIV/0!</v>
      </c>
      <c r="E119" s="348" t="e">
        <f t="shared" si="177"/>
        <v>#DIV/0!</v>
      </c>
      <c r="F119" s="348" t="e">
        <f t="shared" si="177"/>
        <v>#DIV/0!</v>
      </c>
      <c r="G119" s="348" t="e">
        <f t="shared" si="177"/>
        <v>#DIV/0!</v>
      </c>
      <c r="H119" s="348" t="e">
        <f t="shared" si="177"/>
        <v>#DIV/0!</v>
      </c>
      <c r="I119" s="348" t="e">
        <f t="shared" si="177"/>
        <v>#DIV/0!</v>
      </c>
      <c r="J119" s="348" t="e">
        <f t="shared" si="177"/>
        <v>#DIV/0!</v>
      </c>
      <c r="K119" s="348" t="e">
        <f t="shared" si="177"/>
        <v>#DIV/0!</v>
      </c>
      <c r="L119" s="348" t="e">
        <f t="shared" si="177"/>
        <v>#DIV/0!</v>
      </c>
      <c r="M119" s="348" t="e">
        <f t="shared" si="177"/>
        <v>#DIV/0!</v>
      </c>
      <c r="N119" s="348" t="e">
        <f t="shared" si="177"/>
        <v>#DIV/0!</v>
      </c>
      <c r="O119" s="348" t="e">
        <f t="shared" si="177"/>
        <v>#DIV/0!</v>
      </c>
      <c r="P119" s="349" t="e">
        <f t="shared" si="177"/>
        <v>#DIV/0!</v>
      </c>
      <c r="Q119" s="221"/>
    </row>
    <row r="120" spans="2:21" ht="14.85" customHeight="1">
      <c r="B120" s="226"/>
      <c r="D120" s="1"/>
      <c r="E120" s="1"/>
      <c r="F120" s="1"/>
      <c r="G120" s="1"/>
      <c r="H120" s="1"/>
      <c r="I120" s="1"/>
      <c r="J120" s="1"/>
      <c r="K120" s="1"/>
      <c r="L120" s="1"/>
      <c r="M120" s="1"/>
      <c r="N120" s="1"/>
      <c r="O120" s="1"/>
      <c r="P120" s="1"/>
    </row>
    <row r="121" spans="2:21" ht="14.85" customHeight="1" thickBot="1">
      <c r="B121" s="226"/>
      <c r="D121" s="1"/>
      <c r="E121" s="1"/>
      <c r="F121" s="1"/>
      <c r="G121" s="1"/>
      <c r="H121" s="1"/>
      <c r="I121" s="1"/>
      <c r="J121" s="1"/>
      <c r="K121" s="1"/>
      <c r="L121" s="1"/>
      <c r="M121" s="1"/>
      <c r="N121" s="1"/>
      <c r="O121" s="1"/>
      <c r="P121" s="1"/>
    </row>
    <row r="122" spans="2:21">
      <c r="B122" s="653" t="s">
        <v>28</v>
      </c>
      <c r="C122" s="651" t="s">
        <v>52</v>
      </c>
      <c r="D122" s="659" t="s">
        <v>30</v>
      </c>
      <c r="E122" s="655" t="s">
        <v>31</v>
      </c>
      <c r="F122" s="655" t="s">
        <v>32</v>
      </c>
      <c r="G122" s="655" t="s">
        <v>33</v>
      </c>
      <c r="H122" s="655" t="s">
        <v>34</v>
      </c>
      <c r="I122" s="655" t="s">
        <v>35</v>
      </c>
      <c r="J122" s="655" t="s">
        <v>36</v>
      </c>
      <c r="K122" s="655" t="s">
        <v>37</v>
      </c>
      <c r="L122" s="655" t="s">
        <v>38</v>
      </c>
      <c r="M122" s="655" t="s">
        <v>39</v>
      </c>
      <c r="N122" s="655" t="s">
        <v>40</v>
      </c>
      <c r="O122" s="657" t="s">
        <v>41</v>
      </c>
      <c r="P122" s="653" t="s">
        <v>42</v>
      </c>
    </row>
    <row r="123" spans="2:21" ht="15.75" thickBot="1">
      <c r="B123" s="654"/>
      <c r="C123" s="652"/>
      <c r="D123" s="660"/>
      <c r="E123" s="656"/>
      <c r="F123" s="656"/>
      <c r="G123" s="656"/>
      <c r="H123" s="656"/>
      <c r="I123" s="656"/>
      <c r="J123" s="656"/>
      <c r="K123" s="656"/>
      <c r="L123" s="656"/>
      <c r="M123" s="656"/>
      <c r="N123" s="656"/>
      <c r="O123" s="658"/>
      <c r="P123" s="654"/>
    </row>
    <row r="124" spans="2:21" ht="14.85" customHeight="1">
      <c r="B124" s="224">
        <f>ÜLDANDMED!H14</f>
        <v>2028</v>
      </c>
      <c r="C124" s="225" t="s">
        <v>108</v>
      </c>
      <c r="D124" s="305"/>
      <c r="E124" s="305"/>
      <c r="F124" s="305"/>
      <c r="G124" s="305"/>
      <c r="H124" s="305"/>
      <c r="I124" s="305"/>
      <c r="J124" s="305"/>
      <c r="K124" s="305"/>
      <c r="L124" s="305"/>
      <c r="M124" s="305"/>
      <c r="N124" s="305"/>
      <c r="O124" s="305"/>
      <c r="P124" s="335">
        <f>SUM(D124:O124)</f>
        <v>0</v>
      </c>
    </row>
    <row r="125" spans="2:21" s="10" customFormat="1" ht="14.85" customHeight="1">
      <c r="B125" s="117"/>
      <c r="C125" s="212" t="s">
        <v>109</v>
      </c>
      <c r="D125" s="351">
        <f>D124*$G$4</f>
        <v>0</v>
      </c>
      <c r="E125" s="351">
        <f t="shared" ref="E125" si="178">E124*$G$4</f>
        <v>0</v>
      </c>
      <c r="F125" s="351">
        <f t="shared" ref="F125" si="179">F124*$G$4</f>
        <v>0</v>
      </c>
      <c r="G125" s="351">
        <f t="shared" ref="G125" si="180">G124*$G$4</f>
        <v>0</v>
      </c>
      <c r="H125" s="351">
        <f t="shared" ref="H125" si="181">H124*$G$4</f>
        <v>0</v>
      </c>
      <c r="I125" s="351">
        <f t="shared" ref="I125" si="182">I124*$G$4</f>
        <v>0</v>
      </c>
      <c r="J125" s="351">
        <f t="shared" ref="J125" si="183">J124*$G$4</f>
        <v>0</v>
      </c>
      <c r="K125" s="351">
        <f t="shared" ref="K125" si="184">K124*$G$4</f>
        <v>0</v>
      </c>
      <c r="L125" s="351">
        <f t="shared" ref="L125" si="185">L124*$G$4</f>
        <v>0</v>
      </c>
      <c r="M125" s="351">
        <f t="shared" ref="M125" si="186">M124*$G$4</f>
        <v>0</v>
      </c>
      <c r="N125" s="351">
        <f t="shared" ref="N125" si="187">N124*$G$4</f>
        <v>0</v>
      </c>
      <c r="O125" s="351">
        <f t="shared" ref="O125" si="188">O124*$G$4</f>
        <v>0</v>
      </c>
      <c r="P125" s="335">
        <f>SUM(D125:O125)</f>
        <v>0</v>
      </c>
    </row>
    <row r="126" spans="2:21" s="10" customFormat="1" ht="14.85" customHeight="1" thickBot="1">
      <c r="B126" s="210"/>
      <c r="C126" s="213" t="s">
        <v>110</v>
      </c>
      <c r="D126" s="304"/>
      <c r="E126" s="304"/>
      <c r="F126" s="304"/>
      <c r="G126" s="304"/>
      <c r="H126" s="304"/>
      <c r="I126" s="304"/>
      <c r="J126" s="304"/>
      <c r="K126" s="304"/>
      <c r="L126" s="304"/>
      <c r="M126" s="304"/>
      <c r="N126" s="304"/>
      <c r="O126" s="304"/>
      <c r="P126" s="334">
        <f>SUM(D126:O126)</f>
        <v>0</v>
      </c>
      <c r="R126" s="1"/>
      <c r="S126" s="1"/>
      <c r="T126" s="1"/>
      <c r="U126" s="1"/>
    </row>
    <row r="127" spans="2:21" s="10" customFormat="1" ht="14.85" customHeight="1">
      <c r="B127" s="210"/>
      <c r="C127" s="225" t="s">
        <v>111</v>
      </c>
      <c r="D127" s="305"/>
      <c r="E127" s="305"/>
      <c r="F127" s="305"/>
      <c r="G127" s="305"/>
      <c r="H127" s="305"/>
      <c r="I127" s="305"/>
      <c r="J127" s="305"/>
      <c r="K127" s="305"/>
      <c r="L127" s="305"/>
      <c r="M127" s="305"/>
      <c r="N127" s="305"/>
      <c r="O127" s="305"/>
      <c r="P127" s="335">
        <f t="shared" ref="P127:P134" si="189">SUM(D127:O127)</f>
        <v>0</v>
      </c>
      <c r="R127" s="1"/>
      <c r="S127" s="1"/>
      <c r="T127" s="1"/>
      <c r="U127" s="1"/>
    </row>
    <row r="128" spans="2:21" s="10" customFormat="1" ht="14.85" customHeight="1">
      <c r="B128" s="115"/>
      <c r="C128" s="212" t="s">
        <v>112</v>
      </c>
      <c r="D128" s="351">
        <f>D127*$G$5</f>
        <v>0</v>
      </c>
      <c r="E128" s="351">
        <f t="shared" ref="E128" si="190">E127*$G$5</f>
        <v>0</v>
      </c>
      <c r="F128" s="351">
        <f t="shared" ref="F128" si="191">F127*$G$5</f>
        <v>0</v>
      </c>
      <c r="G128" s="351">
        <f t="shared" ref="G128" si="192">G127*$G$5</f>
        <v>0</v>
      </c>
      <c r="H128" s="351">
        <f t="shared" ref="H128" si="193">H127*$G$5</f>
        <v>0</v>
      </c>
      <c r="I128" s="351">
        <f t="shared" ref="I128" si="194">I127*$G$5</f>
        <v>0</v>
      </c>
      <c r="J128" s="351">
        <f t="shared" ref="J128" si="195">J127*$G$5</f>
        <v>0</v>
      </c>
      <c r="K128" s="351">
        <f t="shared" ref="K128" si="196">K127*$G$5</f>
        <v>0</v>
      </c>
      <c r="L128" s="351">
        <f t="shared" ref="L128" si="197">L127*$G$5</f>
        <v>0</v>
      </c>
      <c r="M128" s="351">
        <f t="shared" ref="M128" si="198">M127*$G$5</f>
        <v>0</v>
      </c>
      <c r="N128" s="351">
        <f t="shared" ref="N128" si="199">N127*$G$5</f>
        <v>0</v>
      </c>
      <c r="O128" s="351">
        <f t="shared" ref="O128" si="200">O127*$G$5</f>
        <v>0</v>
      </c>
      <c r="P128" s="335">
        <f t="shared" si="189"/>
        <v>0</v>
      </c>
      <c r="R128" s="1"/>
      <c r="S128" s="1"/>
      <c r="T128" s="1"/>
      <c r="U128" s="1"/>
    </row>
    <row r="129" spans="2:21" s="10" customFormat="1" ht="14.85" customHeight="1" thickBot="1">
      <c r="B129" s="210"/>
      <c r="C129" s="213" t="s">
        <v>113</v>
      </c>
      <c r="D129" s="304"/>
      <c r="E129" s="304"/>
      <c r="F129" s="304"/>
      <c r="G129" s="304"/>
      <c r="H129" s="304"/>
      <c r="I129" s="304"/>
      <c r="J129" s="304"/>
      <c r="K129" s="304"/>
      <c r="L129" s="304"/>
      <c r="M129" s="304"/>
      <c r="N129" s="304"/>
      <c r="O129" s="304"/>
      <c r="P129" s="334">
        <f>SUM(D129:O129)</f>
        <v>0</v>
      </c>
      <c r="R129" s="1"/>
      <c r="S129" s="1"/>
      <c r="T129" s="1"/>
      <c r="U129" s="1"/>
    </row>
    <row r="130" spans="2:21" ht="14.85" customHeight="1">
      <c r="B130" s="229"/>
      <c r="C130" s="225" t="s">
        <v>114</v>
      </c>
      <c r="D130" s="305"/>
      <c r="E130" s="305"/>
      <c r="F130" s="305"/>
      <c r="G130" s="305"/>
      <c r="H130" s="305"/>
      <c r="I130" s="305"/>
      <c r="J130" s="305"/>
      <c r="K130" s="305"/>
      <c r="L130" s="305"/>
      <c r="M130" s="305"/>
      <c r="N130" s="305"/>
      <c r="O130" s="305"/>
      <c r="P130" s="335">
        <f t="shared" si="189"/>
        <v>0</v>
      </c>
    </row>
    <row r="131" spans="2:21" ht="14.85" customHeight="1">
      <c r="B131" s="117"/>
      <c r="C131" s="212" t="s">
        <v>115</v>
      </c>
      <c r="D131" s="351">
        <f>D130*$G$6</f>
        <v>0</v>
      </c>
      <c r="E131" s="351">
        <f t="shared" ref="E131" si="201">E130*$G$6</f>
        <v>0</v>
      </c>
      <c r="F131" s="351">
        <f t="shared" ref="F131" si="202">F130*$G$6</f>
        <v>0</v>
      </c>
      <c r="G131" s="351">
        <f t="shared" ref="G131" si="203">G130*$G$6</f>
        <v>0</v>
      </c>
      <c r="H131" s="351">
        <f t="shared" ref="H131" si="204">H130*$G$6</f>
        <v>0</v>
      </c>
      <c r="I131" s="351">
        <f t="shared" ref="I131" si="205">I130*$G$6</f>
        <v>0</v>
      </c>
      <c r="J131" s="351">
        <f t="shared" ref="J131" si="206">J130*$G$6</f>
        <v>0</v>
      </c>
      <c r="K131" s="351">
        <f t="shared" ref="K131" si="207">K130*$G$6</f>
        <v>0</v>
      </c>
      <c r="L131" s="351">
        <f t="shared" ref="L131" si="208">L130*$G$6</f>
        <v>0</v>
      </c>
      <c r="M131" s="351">
        <f t="shared" ref="M131" si="209">M130*$G$6</f>
        <v>0</v>
      </c>
      <c r="N131" s="351">
        <f t="shared" ref="N131" si="210">N130*$G$6</f>
        <v>0</v>
      </c>
      <c r="O131" s="351">
        <f t="shared" ref="O131" si="211">O130*$G$6</f>
        <v>0</v>
      </c>
      <c r="P131" s="335">
        <f t="shared" si="189"/>
        <v>0</v>
      </c>
    </row>
    <row r="132" spans="2:21" ht="14.85" customHeight="1" thickBot="1">
      <c r="B132" s="210"/>
      <c r="C132" s="213" t="s">
        <v>116</v>
      </c>
      <c r="D132" s="304"/>
      <c r="E132" s="304"/>
      <c r="F132" s="304"/>
      <c r="G132" s="304"/>
      <c r="H132" s="304"/>
      <c r="I132" s="304"/>
      <c r="J132" s="304"/>
      <c r="K132" s="304"/>
      <c r="L132" s="304"/>
      <c r="M132" s="304"/>
      <c r="N132" s="304"/>
      <c r="O132" s="304"/>
      <c r="P132" s="334">
        <f>SUM(D132:O132)</f>
        <v>0</v>
      </c>
    </row>
    <row r="133" spans="2:21" ht="14.85" customHeight="1">
      <c r="B133" s="117"/>
      <c r="C133" s="225" t="s">
        <v>117</v>
      </c>
      <c r="D133" s="305"/>
      <c r="E133" s="305"/>
      <c r="F133" s="305"/>
      <c r="G133" s="305"/>
      <c r="H133" s="305"/>
      <c r="I133" s="305"/>
      <c r="J133" s="305"/>
      <c r="K133" s="305"/>
      <c r="L133" s="305"/>
      <c r="M133" s="305"/>
      <c r="N133" s="305"/>
      <c r="O133" s="305"/>
      <c r="P133" s="335">
        <f t="shared" si="189"/>
        <v>0</v>
      </c>
    </row>
    <row r="134" spans="2:21" ht="14.85" customHeight="1">
      <c r="B134" s="117"/>
      <c r="C134" s="212" t="s">
        <v>118</v>
      </c>
      <c r="D134" s="351">
        <f>D133*$G$7</f>
        <v>0</v>
      </c>
      <c r="E134" s="351">
        <f t="shared" ref="E134" si="212">E133*$G$7</f>
        <v>0</v>
      </c>
      <c r="F134" s="351">
        <f t="shared" ref="F134" si="213">F133*$G$7</f>
        <v>0</v>
      </c>
      <c r="G134" s="351">
        <f t="shared" ref="G134" si="214">G133*$G$7</f>
        <v>0</v>
      </c>
      <c r="H134" s="351">
        <f t="shared" ref="H134" si="215">H133*$G$7</f>
        <v>0</v>
      </c>
      <c r="I134" s="351">
        <f t="shared" ref="I134" si="216">I133*$G$7</f>
        <v>0</v>
      </c>
      <c r="J134" s="351">
        <f t="shared" ref="J134" si="217">J133*$G$7</f>
        <v>0</v>
      </c>
      <c r="K134" s="351">
        <f t="shared" ref="K134" si="218">K133*$G$7</f>
        <v>0</v>
      </c>
      <c r="L134" s="351">
        <f t="shared" ref="L134" si="219">L133*$G$7</f>
        <v>0</v>
      </c>
      <c r="M134" s="351">
        <f t="shared" ref="M134" si="220">M133*$G$7</f>
        <v>0</v>
      </c>
      <c r="N134" s="351">
        <f t="shared" ref="N134" si="221">N133*$G$7</f>
        <v>0</v>
      </c>
      <c r="O134" s="351">
        <f t="shared" ref="O134" si="222">O133*$G$7</f>
        <v>0</v>
      </c>
      <c r="P134" s="335">
        <f t="shared" si="189"/>
        <v>0</v>
      </c>
    </row>
    <row r="135" spans="2:21" ht="14.85" customHeight="1" thickBot="1">
      <c r="B135" s="210"/>
      <c r="C135" s="213" t="s">
        <v>119</v>
      </c>
      <c r="D135" s="304"/>
      <c r="E135" s="304"/>
      <c r="F135" s="304"/>
      <c r="G135" s="304"/>
      <c r="H135" s="304"/>
      <c r="I135" s="304"/>
      <c r="J135" s="304"/>
      <c r="K135" s="304"/>
      <c r="L135" s="304"/>
      <c r="M135" s="304"/>
      <c r="N135" s="304"/>
      <c r="O135" s="304"/>
      <c r="P135" s="334">
        <f>SUM(D135:O135)</f>
        <v>0</v>
      </c>
    </row>
    <row r="136" spans="2:21" ht="15.75" thickBot="1">
      <c r="B136" s="117"/>
      <c r="C136" s="152" t="s">
        <v>120</v>
      </c>
      <c r="D136" s="345">
        <f>D131+D132+D128+D129+D134+D135+D125+D126</f>
        <v>0</v>
      </c>
      <c r="E136" s="345">
        <f t="shared" ref="E136:O136" si="223">E131+E132+E128+E129+E134+E135+E125+E126</f>
        <v>0</v>
      </c>
      <c r="F136" s="345">
        <f t="shared" si="223"/>
        <v>0</v>
      </c>
      <c r="G136" s="345">
        <f t="shared" si="223"/>
        <v>0</v>
      </c>
      <c r="H136" s="345">
        <f t="shared" si="223"/>
        <v>0</v>
      </c>
      <c r="I136" s="345">
        <f t="shared" si="223"/>
        <v>0</v>
      </c>
      <c r="J136" s="345">
        <f t="shared" si="223"/>
        <v>0</v>
      </c>
      <c r="K136" s="345">
        <f t="shared" si="223"/>
        <v>0</v>
      </c>
      <c r="L136" s="345">
        <f t="shared" si="223"/>
        <v>0</v>
      </c>
      <c r="M136" s="345">
        <f t="shared" si="223"/>
        <v>0</v>
      </c>
      <c r="N136" s="345">
        <f t="shared" si="223"/>
        <v>0</v>
      </c>
      <c r="O136" s="345">
        <f t="shared" si="223"/>
        <v>0</v>
      </c>
      <c r="P136" s="346">
        <f>SUM(D136:O136)</f>
        <v>0</v>
      </c>
    </row>
    <row r="137" spans="2:21">
      <c r="B137" s="210"/>
      <c r="C137" s="214" t="s">
        <v>121</v>
      </c>
      <c r="D137" s="300"/>
      <c r="E137" s="300"/>
      <c r="F137" s="300"/>
      <c r="G137" s="300"/>
      <c r="H137" s="300"/>
      <c r="I137" s="300"/>
      <c r="J137" s="300"/>
      <c r="K137" s="300"/>
      <c r="L137" s="300"/>
      <c r="M137" s="300"/>
      <c r="N137" s="300"/>
      <c r="O137" s="300"/>
      <c r="P137" s="338">
        <f t="shared" ref="P137:P144" si="224">SUM(D137:O137)</f>
        <v>0</v>
      </c>
      <c r="Q137" s="145"/>
    </row>
    <row r="138" spans="2:21">
      <c r="B138" s="210"/>
      <c r="C138" s="215" t="s">
        <v>122</v>
      </c>
      <c r="D138" s="351">
        <f>D137*$G$8</f>
        <v>0</v>
      </c>
      <c r="E138" s="351">
        <f t="shared" ref="E138" si="225">E137*$G$8</f>
        <v>0</v>
      </c>
      <c r="F138" s="351">
        <f t="shared" ref="F138" si="226">F137*$G$8</f>
        <v>0</v>
      </c>
      <c r="G138" s="351">
        <f t="shared" ref="G138" si="227">G137*$G$8</f>
        <v>0</v>
      </c>
      <c r="H138" s="351">
        <f t="shared" ref="H138" si="228">H137*$G$8</f>
        <v>0</v>
      </c>
      <c r="I138" s="351">
        <f t="shared" ref="I138" si="229">I137*$G$8</f>
        <v>0</v>
      </c>
      <c r="J138" s="351">
        <f t="shared" ref="J138" si="230">J137*$G$8</f>
        <v>0</v>
      </c>
      <c r="K138" s="351">
        <f t="shared" ref="K138" si="231">K137*$G$8</f>
        <v>0</v>
      </c>
      <c r="L138" s="351">
        <f t="shared" ref="L138" si="232">L137*$G$8</f>
        <v>0</v>
      </c>
      <c r="M138" s="351">
        <f t="shared" ref="M138" si="233">M137*$G$8</f>
        <v>0</v>
      </c>
      <c r="N138" s="351">
        <f t="shared" ref="N138" si="234">N137*$G$8</f>
        <v>0</v>
      </c>
      <c r="O138" s="351">
        <f t="shared" ref="O138" si="235">O137*$G$8</f>
        <v>0</v>
      </c>
      <c r="P138" s="335">
        <f t="shared" si="224"/>
        <v>0</v>
      </c>
      <c r="Q138" s="145"/>
    </row>
    <row r="139" spans="2:21" ht="15.75" thickBot="1">
      <c r="B139" s="210"/>
      <c r="C139" s="216" t="s">
        <v>123</v>
      </c>
      <c r="D139" s="304"/>
      <c r="E139" s="304"/>
      <c r="F139" s="304"/>
      <c r="G139" s="304"/>
      <c r="H139" s="304"/>
      <c r="I139" s="304"/>
      <c r="J139" s="304"/>
      <c r="K139" s="304"/>
      <c r="L139" s="304"/>
      <c r="M139" s="304"/>
      <c r="N139" s="304"/>
      <c r="O139" s="304"/>
      <c r="P139" s="334">
        <f>SUM(D139:O139)</f>
        <v>0</v>
      </c>
      <c r="Q139" s="145"/>
    </row>
    <row r="140" spans="2:21">
      <c r="B140" s="210"/>
      <c r="C140" s="116" t="s">
        <v>124</v>
      </c>
      <c r="D140" s="305"/>
      <c r="E140" s="305"/>
      <c r="F140" s="305"/>
      <c r="G140" s="305"/>
      <c r="H140" s="305"/>
      <c r="I140" s="305"/>
      <c r="J140" s="305"/>
      <c r="K140" s="305"/>
      <c r="L140" s="305"/>
      <c r="M140" s="305"/>
      <c r="N140" s="305"/>
      <c r="O140" s="305"/>
      <c r="P140" s="335">
        <f t="shared" si="224"/>
        <v>0</v>
      </c>
      <c r="Q140" s="145"/>
    </row>
    <row r="141" spans="2:21" ht="14.85" customHeight="1">
      <c r="B141" s="117"/>
      <c r="C141" s="215" t="s">
        <v>125</v>
      </c>
      <c r="D141" s="351">
        <f>D140*$G$8</f>
        <v>0</v>
      </c>
      <c r="E141" s="351">
        <f t="shared" ref="E141" si="236">E140*$G$8</f>
        <v>0</v>
      </c>
      <c r="F141" s="351">
        <f t="shared" ref="F141" si="237">F140*$G$8</f>
        <v>0</v>
      </c>
      <c r="G141" s="351">
        <f t="shared" ref="G141" si="238">G140*$G$8</f>
        <v>0</v>
      </c>
      <c r="H141" s="351">
        <f t="shared" ref="H141" si="239">H140*$G$8</f>
        <v>0</v>
      </c>
      <c r="I141" s="351">
        <f t="shared" ref="I141" si="240">I140*$G$8</f>
        <v>0</v>
      </c>
      <c r="J141" s="351">
        <f t="shared" ref="J141" si="241">J140*$G$8</f>
        <v>0</v>
      </c>
      <c r="K141" s="351">
        <f t="shared" ref="K141" si="242">K140*$G$8</f>
        <v>0</v>
      </c>
      <c r="L141" s="351">
        <f t="shared" ref="L141" si="243">L140*$G$8</f>
        <v>0</v>
      </c>
      <c r="M141" s="351">
        <f t="shared" ref="M141" si="244">M140*$G$8</f>
        <v>0</v>
      </c>
      <c r="N141" s="351">
        <f t="shared" ref="N141" si="245">N140*$G$8</f>
        <v>0</v>
      </c>
      <c r="O141" s="351">
        <f t="shared" ref="O141" si="246">O140*$G$8</f>
        <v>0</v>
      </c>
      <c r="P141" s="338">
        <f t="shared" si="224"/>
        <v>0</v>
      </c>
    </row>
    <row r="142" spans="2:21" ht="14.85" customHeight="1" thickBot="1">
      <c r="B142" s="210"/>
      <c r="C142" s="216" t="s">
        <v>126</v>
      </c>
      <c r="D142" s="304"/>
      <c r="E142" s="304"/>
      <c r="F142" s="304"/>
      <c r="G142" s="304"/>
      <c r="H142" s="304"/>
      <c r="I142" s="304"/>
      <c r="J142" s="304"/>
      <c r="K142" s="304"/>
      <c r="L142" s="304"/>
      <c r="M142" s="304"/>
      <c r="N142" s="304"/>
      <c r="O142" s="304"/>
      <c r="P142" s="334">
        <f>SUM(D142:O142)</f>
        <v>0</v>
      </c>
    </row>
    <row r="143" spans="2:21" ht="14.85" customHeight="1" thickBot="1">
      <c r="B143" s="117"/>
      <c r="C143" s="217" t="s">
        <v>127</v>
      </c>
      <c r="D143" s="345">
        <f>D138+D139+D141+D142</f>
        <v>0</v>
      </c>
      <c r="E143" s="345">
        <f t="shared" ref="E143:O143" si="247">E138+E139+E141+E142</f>
        <v>0</v>
      </c>
      <c r="F143" s="345">
        <f t="shared" si="247"/>
        <v>0</v>
      </c>
      <c r="G143" s="345">
        <f t="shared" si="247"/>
        <v>0</v>
      </c>
      <c r="H143" s="345">
        <f t="shared" si="247"/>
        <v>0</v>
      </c>
      <c r="I143" s="345">
        <f t="shared" si="247"/>
        <v>0</v>
      </c>
      <c r="J143" s="345">
        <f t="shared" si="247"/>
        <v>0</v>
      </c>
      <c r="K143" s="345">
        <f t="shared" si="247"/>
        <v>0</v>
      </c>
      <c r="L143" s="345">
        <f t="shared" si="247"/>
        <v>0</v>
      </c>
      <c r="M143" s="345">
        <f t="shared" si="247"/>
        <v>0</v>
      </c>
      <c r="N143" s="345">
        <f t="shared" si="247"/>
        <v>0</v>
      </c>
      <c r="O143" s="345">
        <f t="shared" si="247"/>
        <v>0</v>
      </c>
      <c r="P143" s="346">
        <f t="shared" si="224"/>
        <v>0</v>
      </c>
    </row>
    <row r="144" spans="2:21" ht="15.75" thickBot="1">
      <c r="B144" s="117"/>
      <c r="C144" s="152" t="s">
        <v>128</v>
      </c>
      <c r="D144" s="352">
        <f t="shared" ref="D144:O144" si="248">D136+D143</f>
        <v>0</v>
      </c>
      <c r="E144" s="352">
        <f t="shared" si="248"/>
        <v>0</v>
      </c>
      <c r="F144" s="352">
        <f t="shared" si="248"/>
        <v>0</v>
      </c>
      <c r="G144" s="352">
        <f t="shared" si="248"/>
        <v>0</v>
      </c>
      <c r="H144" s="352">
        <f t="shared" si="248"/>
        <v>0</v>
      </c>
      <c r="I144" s="352">
        <f t="shared" si="248"/>
        <v>0</v>
      </c>
      <c r="J144" s="352">
        <f t="shared" si="248"/>
        <v>0</v>
      </c>
      <c r="K144" s="352">
        <f t="shared" si="248"/>
        <v>0</v>
      </c>
      <c r="L144" s="352">
        <f t="shared" si="248"/>
        <v>0</v>
      </c>
      <c r="M144" s="352">
        <f t="shared" si="248"/>
        <v>0</v>
      </c>
      <c r="N144" s="352">
        <f t="shared" si="248"/>
        <v>0</v>
      </c>
      <c r="O144" s="352">
        <f t="shared" si="248"/>
        <v>0</v>
      </c>
      <c r="P144" s="346">
        <f t="shared" si="224"/>
        <v>0</v>
      </c>
    </row>
    <row r="145" spans="2:21">
      <c r="B145" s="117"/>
      <c r="C145" s="218" t="s">
        <v>129</v>
      </c>
      <c r="D145" s="353" t="e">
        <f>D144/ÜLDANDMED!D38</f>
        <v>#DIV/0!</v>
      </c>
      <c r="E145" s="353" t="e">
        <f>E144/ÜLDANDMED!E38</f>
        <v>#DIV/0!</v>
      </c>
      <c r="F145" s="353" t="e">
        <f>F144/ÜLDANDMED!F38</f>
        <v>#DIV/0!</v>
      </c>
      <c r="G145" s="353" t="e">
        <f>G144/ÜLDANDMED!G38</f>
        <v>#DIV/0!</v>
      </c>
      <c r="H145" s="353" t="e">
        <f>H144/ÜLDANDMED!H38</f>
        <v>#DIV/0!</v>
      </c>
      <c r="I145" s="353" t="e">
        <f>I144/ÜLDANDMED!I38</f>
        <v>#DIV/0!</v>
      </c>
      <c r="J145" s="353" t="e">
        <f>J144/ÜLDANDMED!J38</f>
        <v>#DIV/0!</v>
      </c>
      <c r="K145" s="353" t="e">
        <f>K144/ÜLDANDMED!K38</f>
        <v>#DIV/0!</v>
      </c>
      <c r="L145" s="353" t="e">
        <f>L144/ÜLDANDMED!L38</f>
        <v>#DIV/0!</v>
      </c>
      <c r="M145" s="353" t="e">
        <f>M144/ÜLDANDMED!M38</f>
        <v>#DIV/0!</v>
      </c>
      <c r="N145" s="353" t="e">
        <f>N144/ÜLDANDMED!N38</f>
        <v>#DIV/0!</v>
      </c>
      <c r="O145" s="353" t="e">
        <f>O144/ÜLDANDMED!O38</f>
        <v>#DIV/0!</v>
      </c>
      <c r="P145" s="338" t="e">
        <f>P144/ööbimised_2028</f>
        <v>#DIV/0!</v>
      </c>
    </row>
    <row r="146" spans="2:21" ht="15.75" thickBot="1">
      <c r="B146" s="164"/>
      <c r="C146" s="220" t="s">
        <v>130</v>
      </c>
      <c r="D146" s="348" t="e">
        <f t="shared" ref="D146:P146" si="249">D136/D144</f>
        <v>#DIV/0!</v>
      </c>
      <c r="E146" s="348" t="e">
        <f t="shared" si="249"/>
        <v>#DIV/0!</v>
      </c>
      <c r="F146" s="348" t="e">
        <f t="shared" si="249"/>
        <v>#DIV/0!</v>
      </c>
      <c r="G146" s="348" t="e">
        <f t="shared" si="249"/>
        <v>#DIV/0!</v>
      </c>
      <c r="H146" s="348" t="e">
        <f t="shared" si="249"/>
        <v>#DIV/0!</v>
      </c>
      <c r="I146" s="348" t="e">
        <f t="shared" si="249"/>
        <v>#DIV/0!</v>
      </c>
      <c r="J146" s="348" t="e">
        <f t="shared" si="249"/>
        <v>#DIV/0!</v>
      </c>
      <c r="K146" s="348" t="e">
        <f t="shared" si="249"/>
        <v>#DIV/0!</v>
      </c>
      <c r="L146" s="348" t="e">
        <f t="shared" si="249"/>
        <v>#DIV/0!</v>
      </c>
      <c r="M146" s="348" t="e">
        <f t="shared" si="249"/>
        <v>#DIV/0!</v>
      </c>
      <c r="N146" s="348" t="e">
        <f t="shared" si="249"/>
        <v>#DIV/0!</v>
      </c>
      <c r="O146" s="348" t="e">
        <f t="shared" si="249"/>
        <v>#DIV/0!</v>
      </c>
      <c r="P146" s="349" t="e">
        <f t="shared" si="249"/>
        <v>#DIV/0!</v>
      </c>
      <c r="Q146" s="221"/>
    </row>
    <row r="147" spans="2:21" ht="14.85" customHeight="1">
      <c r="B147" s="226"/>
      <c r="D147" s="1"/>
      <c r="E147" s="1"/>
      <c r="F147" s="1"/>
      <c r="G147" s="1"/>
      <c r="H147" s="1"/>
      <c r="I147" s="1"/>
      <c r="J147" s="1"/>
      <c r="K147" s="1"/>
      <c r="L147" s="1"/>
      <c r="M147" s="1"/>
      <c r="N147" s="1"/>
      <c r="O147" s="1"/>
      <c r="P147" s="1"/>
    </row>
    <row r="148" spans="2:21" ht="14.85" customHeight="1" thickBot="1">
      <c r="B148" s="226"/>
      <c r="D148" s="1"/>
      <c r="E148" s="1"/>
      <c r="F148" s="1"/>
      <c r="G148" s="1"/>
      <c r="H148" s="1"/>
      <c r="I148" s="1"/>
      <c r="J148" s="1"/>
      <c r="K148" s="1"/>
      <c r="L148" s="1"/>
      <c r="M148" s="1"/>
      <c r="N148" s="1"/>
      <c r="O148" s="1"/>
      <c r="P148" s="1"/>
    </row>
    <row r="149" spans="2:21">
      <c r="B149" s="653" t="s">
        <v>28</v>
      </c>
      <c r="C149" s="651" t="s">
        <v>52</v>
      </c>
      <c r="D149" s="659" t="s">
        <v>30</v>
      </c>
      <c r="E149" s="655" t="s">
        <v>31</v>
      </c>
      <c r="F149" s="655" t="s">
        <v>32</v>
      </c>
      <c r="G149" s="655" t="s">
        <v>33</v>
      </c>
      <c r="H149" s="655" t="s">
        <v>34</v>
      </c>
      <c r="I149" s="655" t="s">
        <v>35</v>
      </c>
      <c r="J149" s="655" t="s">
        <v>36</v>
      </c>
      <c r="K149" s="655" t="s">
        <v>37</v>
      </c>
      <c r="L149" s="655" t="s">
        <v>38</v>
      </c>
      <c r="M149" s="655" t="s">
        <v>39</v>
      </c>
      <c r="N149" s="655" t="s">
        <v>40</v>
      </c>
      <c r="O149" s="657" t="s">
        <v>41</v>
      </c>
      <c r="P149" s="653" t="s">
        <v>42</v>
      </c>
    </row>
    <row r="150" spans="2:21" ht="15.75" thickBot="1">
      <c r="B150" s="654"/>
      <c r="C150" s="652"/>
      <c r="D150" s="660"/>
      <c r="E150" s="656"/>
      <c r="F150" s="656"/>
      <c r="G150" s="656"/>
      <c r="H150" s="656"/>
      <c r="I150" s="656"/>
      <c r="J150" s="656"/>
      <c r="K150" s="656"/>
      <c r="L150" s="656"/>
      <c r="M150" s="656"/>
      <c r="N150" s="656"/>
      <c r="O150" s="658"/>
      <c r="P150" s="654"/>
    </row>
    <row r="151" spans="2:21" ht="14.85" customHeight="1">
      <c r="B151" s="224">
        <f>ÜLDANDMED!I14</f>
        <v>2029</v>
      </c>
      <c r="C151" s="225" t="s">
        <v>108</v>
      </c>
      <c r="D151" s="305"/>
      <c r="E151" s="305"/>
      <c r="F151" s="305"/>
      <c r="G151" s="305"/>
      <c r="H151" s="305"/>
      <c r="I151" s="305"/>
      <c r="J151" s="305"/>
      <c r="K151" s="305"/>
      <c r="L151" s="305"/>
      <c r="M151" s="305"/>
      <c r="N151" s="305"/>
      <c r="O151" s="305"/>
      <c r="P151" s="335">
        <f>SUM(D151:O151)</f>
        <v>0</v>
      </c>
    </row>
    <row r="152" spans="2:21" s="10" customFormat="1" ht="14.85" customHeight="1">
      <c r="B152" s="117"/>
      <c r="C152" s="212" t="s">
        <v>109</v>
      </c>
      <c r="D152" s="351">
        <f>D151*$G$4</f>
        <v>0</v>
      </c>
      <c r="E152" s="351">
        <f t="shared" ref="E152" si="250">E151*$G$4</f>
        <v>0</v>
      </c>
      <c r="F152" s="351">
        <f t="shared" ref="F152" si="251">F151*$G$4</f>
        <v>0</v>
      </c>
      <c r="G152" s="351">
        <f t="shared" ref="G152" si="252">G151*$G$4</f>
        <v>0</v>
      </c>
      <c r="H152" s="351">
        <f t="shared" ref="H152" si="253">H151*$G$4</f>
        <v>0</v>
      </c>
      <c r="I152" s="351">
        <f t="shared" ref="I152" si="254">I151*$G$4</f>
        <v>0</v>
      </c>
      <c r="J152" s="351">
        <f t="shared" ref="J152" si="255">J151*$G$4</f>
        <v>0</v>
      </c>
      <c r="K152" s="351">
        <f t="shared" ref="K152" si="256">K151*$G$4</f>
        <v>0</v>
      </c>
      <c r="L152" s="351">
        <f t="shared" ref="L152" si="257">L151*$G$4</f>
        <v>0</v>
      </c>
      <c r="M152" s="351">
        <f t="shared" ref="M152" si="258">M151*$G$4</f>
        <v>0</v>
      </c>
      <c r="N152" s="351">
        <f t="shared" ref="N152" si="259">N151*$G$4</f>
        <v>0</v>
      </c>
      <c r="O152" s="351">
        <f t="shared" ref="O152" si="260">O151*$G$4</f>
        <v>0</v>
      </c>
      <c r="P152" s="335">
        <f>SUM(D152:O152)</f>
        <v>0</v>
      </c>
    </row>
    <row r="153" spans="2:21" s="10" customFormat="1" ht="14.85" customHeight="1" thickBot="1">
      <c r="B153" s="210"/>
      <c r="C153" s="213" t="s">
        <v>110</v>
      </c>
      <c r="D153" s="304"/>
      <c r="E153" s="304"/>
      <c r="F153" s="304"/>
      <c r="G153" s="304"/>
      <c r="H153" s="304"/>
      <c r="I153" s="304"/>
      <c r="J153" s="304"/>
      <c r="K153" s="304"/>
      <c r="L153" s="304"/>
      <c r="M153" s="304"/>
      <c r="N153" s="304"/>
      <c r="O153" s="304"/>
      <c r="P153" s="334">
        <f>SUM(D153:O153)</f>
        <v>0</v>
      </c>
      <c r="R153" s="1"/>
      <c r="S153" s="1"/>
      <c r="T153" s="1"/>
      <c r="U153" s="1"/>
    </row>
    <row r="154" spans="2:21" s="10" customFormat="1" ht="14.85" customHeight="1">
      <c r="B154" s="210"/>
      <c r="C154" s="225" t="s">
        <v>111</v>
      </c>
      <c r="D154" s="305"/>
      <c r="E154" s="305"/>
      <c r="F154" s="305"/>
      <c r="G154" s="305"/>
      <c r="H154" s="305"/>
      <c r="I154" s="305"/>
      <c r="J154" s="305"/>
      <c r="K154" s="305"/>
      <c r="L154" s="305"/>
      <c r="M154" s="305"/>
      <c r="N154" s="305"/>
      <c r="O154" s="305"/>
      <c r="P154" s="335">
        <f t="shared" ref="P154:P161" si="261">SUM(D154:O154)</f>
        <v>0</v>
      </c>
      <c r="R154" s="1"/>
      <c r="S154" s="1"/>
      <c r="T154" s="1"/>
      <c r="U154" s="1"/>
    </row>
    <row r="155" spans="2:21" s="10" customFormat="1" ht="14.85" customHeight="1">
      <c r="B155" s="115"/>
      <c r="C155" s="212" t="s">
        <v>112</v>
      </c>
      <c r="D155" s="351">
        <f>D154*$G$5</f>
        <v>0</v>
      </c>
      <c r="E155" s="351">
        <f t="shared" ref="E155" si="262">E154*$G$5</f>
        <v>0</v>
      </c>
      <c r="F155" s="351">
        <f t="shared" ref="F155" si="263">F154*$G$5</f>
        <v>0</v>
      </c>
      <c r="G155" s="351">
        <f t="shared" ref="G155" si="264">G154*$G$5</f>
        <v>0</v>
      </c>
      <c r="H155" s="351">
        <f t="shared" ref="H155" si="265">H154*$G$5</f>
        <v>0</v>
      </c>
      <c r="I155" s="351">
        <f t="shared" ref="I155" si="266">I154*$G$5</f>
        <v>0</v>
      </c>
      <c r="J155" s="351">
        <f t="shared" ref="J155" si="267">J154*$G$5</f>
        <v>0</v>
      </c>
      <c r="K155" s="351">
        <f t="shared" ref="K155" si="268">K154*$G$5</f>
        <v>0</v>
      </c>
      <c r="L155" s="351">
        <f t="shared" ref="L155" si="269">L154*$G$5</f>
        <v>0</v>
      </c>
      <c r="M155" s="351">
        <f t="shared" ref="M155" si="270">M154*$G$5</f>
        <v>0</v>
      </c>
      <c r="N155" s="351">
        <f t="shared" ref="N155" si="271">N154*$G$5</f>
        <v>0</v>
      </c>
      <c r="O155" s="351">
        <f t="shared" ref="O155" si="272">O154*$G$5</f>
        <v>0</v>
      </c>
      <c r="P155" s="335">
        <f t="shared" si="261"/>
        <v>0</v>
      </c>
      <c r="R155" s="1"/>
      <c r="S155" s="1"/>
      <c r="T155" s="1"/>
      <c r="U155" s="1"/>
    </row>
    <row r="156" spans="2:21" s="10" customFormat="1" ht="14.85" customHeight="1" thickBot="1">
      <c r="B156" s="210"/>
      <c r="C156" s="213" t="s">
        <v>113</v>
      </c>
      <c r="D156" s="304"/>
      <c r="E156" s="304"/>
      <c r="F156" s="304"/>
      <c r="G156" s="304"/>
      <c r="H156" s="304"/>
      <c r="I156" s="304"/>
      <c r="J156" s="304"/>
      <c r="K156" s="304"/>
      <c r="L156" s="304"/>
      <c r="M156" s="304"/>
      <c r="N156" s="304"/>
      <c r="O156" s="304"/>
      <c r="P156" s="334">
        <f>SUM(D156:O156)</f>
        <v>0</v>
      </c>
      <c r="R156" s="1"/>
      <c r="S156" s="1"/>
      <c r="T156" s="1"/>
      <c r="U156" s="1"/>
    </row>
    <row r="157" spans="2:21" ht="14.85" customHeight="1">
      <c r="B157" s="229"/>
      <c r="C157" s="225" t="s">
        <v>114</v>
      </c>
      <c r="D157" s="305"/>
      <c r="E157" s="305"/>
      <c r="F157" s="305"/>
      <c r="G157" s="305"/>
      <c r="H157" s="305"/>
      <c r="I157" s="305"/>
      <c r="J157" s="305"/>
      <c r="K157" s="305"/>
      <c r="L157" s="305"/>
      <c r="M157" s="305"/>
      <c r="N157" s="305"/>
      <c r="O157" s="305"/>
      <c r="P157" s="335">
        <f t="shared" si="261"/>
        <v>0</v>
      </c>
    </row>
    <row r="158" spans="2:21" ht="14.85" customHeight="1">
      <c r="B158" s="117"/>
      <c r="C158" s="212" t="s">
        <v>115</v>
      </c>
      <c r="D158" s="351">
        <f>D157*$G$6</f>
        <v>0</v>
      </c>
      <c r="E158" s="351">
        <f t="shared" ref="E158" si="273">E157*$G$6</f>
        <v>0</v>
      </c>
      <c r="F158" s="351">
        <f t="shared" ref="F158" si="274">F157*$G$6</f>
        <v>0</v>
      </c>
      <c r="G158" s="351">
        <f t="shared" ref="G158" si="275">G157*$G$6</f>
        <v>0</v>
      </c>
      <c r="H158" s="351">
        <f t="shared" ref="H158" si="276">H157*$G$6</f>
        <v>0</v>
      </c>
      <c r="I158" s="351">
        <f t="shared" ref="I158" si="277">I157*$G$6</f>
        <v>0</v>
      </c>
      <c r="J158" s="351">
        <f t="shared" ref="J158" si="278">J157*$G$6</f>
        <v>0</v>
      </c>
      <c r="K158" s="351">
        <f t="shared" ref="K158" si="279">K157*$G$6</f>
        <v>0</v>
      </c>
      <c r="L158" s="351">
        <f t="shared" ref="L158" si="280">L157*$G$6</f>
        <v>0</v>
      </c>
      <c r="M158" s="351">
        <f t="shared" ref="M158" si="281">M157*$G$6</f>
        <v>0</v>
      </c>
      <c r="N158" s="351">
        <f t="shared" ref="N158" si="282">N157*$G$6</f>
        <v>0</v>
      </c>
      <c r="O158" s="351">
        <f t="shared" ref="O158" si="283">O157*$G$6</f>
        <v>0</v>
      </c>
      <c r="P158" s="335">
        <f t="shared" si="261"/>
        <v>0</v>
      </c>
    </row>
    <row r="159" spans="2:21" ht="14.85" customHeight="1" thickBot="1">
      <c r="B159" s="210"/>
      <c r="C159" s="213" t="s">
        <v>116</v>
      </c>
      <c r="D159" s="304"/>
      <c r="E159" s="304"/>
      <c r="F159" s="304"/>
      <c r="G159" s="304"/>
      <c r="H159" s="304"/>
      <c r="I159" s="304"/>
      <c r="J159" s="304"/>
      <c r="K159" s="304"/>
      <c r="L159" s="304"/>
      <c r="M159" s="304"/>
      <c r="N159" s="304"/>
      <c r="O159" s="304"/>
      <c r="P159" s="334">
        <f>SUM(D159:O159)</f>
        <v>0</v>
      </c>
    </row>
    <row r="160" spans="2:21" ht="14.85" customHeight="1">
      <c r="B160" s="117"/>
      <c r="C160" s="225" t="s">
        <v>117</v>
      </c>
      <c r="D160" s="305"/>
      <c r="E160" s="305"/>
      <c r="F160" s="305"/>
      <c r="G160" s="305"/>
      <c r="H160" s="305"/>
      <c r="I160" s="305"/>
      <c r="J160" s="305"/>
      <c r="K160" s="305"/>
      <c r="L160" s="305"/>
      <c r="M160" s="305"/>
      <c r="N160" s="305"/>
      <c r="O160" s="305"/>
      <c r="P160" s="335">
        <f t="shared" si="261"/>
        <v>0</v>
      </c>
    </row>
    <row r="161" spans="2:17" ht="14.85" customHeight="1">
      <c r="B161" s="117"/>
      <c r="C161" s="212" t="s">
        <v>118</v>
      </c>
      <c r="D161" s="351">
        <f>D160*$G$7</f>
        <v>0</v>
      </c>
      <c r="E161" s="351">
        <f t="shared" ref="E161" si="284">E160*$G$7</f>
        <v>0</v>
      </c>
      <c r="F161" s="351">
        <f t="shared" ref="F161" si="285">F160*$G$7</f>
        <v>0</v>
      </c>
      <c r="G161" s="351">
        <f t="shared" ref="G161" si="286">G160*$G$7</f>
        <v>0</v>
      </c>
      <c r="H161" s="351">
        <f t="shared" ref="H161" si="287">H160*$G$7</f>
        <v>0</v>
      </c>
      <c r="I161" s="351">
        <f t="shared" ref="I161" si="288">I160*$G$7</f>
        <v>0</v>
      </c>
      <c r="J161" s="351">
        <f t="shared" ref="J161" si="289">J160*$G$7</f>
        <v>0</v>
      </c>
      <c r="K161" s="351">
        <f t="shared" ref="K161" si="290">K160*$G$7</f>
        <v>0</v>
      </c>
      <c r="L161" s="351">
        <f t="shared" ref="L161" si="291">L160*$G$7</f>
        <v>0</v>
      </c>
      <c r="M161" s="351">
        <f t="shared" ref="M161" si="292">M160*$G$7</f>
        <v>0</v>
      </c>
      <c r="N161" s="351">
        <f t="shared" ref="N161" si="293">N160*$G$7</f>
        <v>0</v>
      </c>
      <c r="O161" s="351">
        <f t="shared" ref="O161" si="294">O160*$G$7</f>
        <v>0</v>
      </c>
      <c r="P161" s="335">
        <f t="shared" si="261"/>
        <v>0</v>
      </c>
    </row>
    <row r="162" spans="2:17" ht="14.85" customHeight="1" thickBot="1">
      <c r="B162" s="210"/>
      <c r="C162" s="213" t="s">
        <v>119</v>
      </c>
      <c r="D162" s="304"/>
      <c r="E162" s="304"/>
      <c r="F162" s="304"/>
      <c r="G162" s="304"/>
      <c r="H162" s="304"/>
      <c r="I162" s="304"/>
      <c r="J162" s="304"/>
      <c r="K162" s="304"/>
      <c r="L162" s="304"/>
      <c r="M162" s="304"/>
      <c r="N162" s="304"/>
      <c r="O162" s="304"/>
      <c r="P162" s="334">
        <f>SUM(D162:O162)</f>
        <v>0</v>
      </c>
    </row>
    <row r="163" spans="2:17" ht="15.75" thickBot="1">
      <c r="B163" s="117"/>
      <c r="C163" s="152" t="s">
        <v>120</v>
      </c>
      <c r="D163" s="345">
        <f>D158+D159+D155+D156+D161+D162+D152+D153</f>
        <v>0</v>
      </c>
      <c r="E163" s="345">
        <f t="shared" ref="E163:O163" si="295">E158+E159+E155+E156+E161+E162+E152+E153</f>
        <v>0</v>
      </c>
      <c r="F163" s="345">
        <f t="shared" si="295"/>
        <v>0</v>
      </c>
      <c r="G163" s="345">
        <f t="shared" si="295"/>
        <v>0</v>
      </c>
      <c r="H163" s="345">
        <f t="shared" si="295"/>
        <v>0</v>
      </c>
      <c r="I163" s="345">
        <f t="shared" si="295"/>
        <v>0</v>
      </c>
      <c r="J163" s="345">
        <f t="shared" si="295"/>
        <v>0</v>
      </c>
      <c r="K163" s="345">
        <f t="shared" si="295"/>
        <v>0</v>
      </c>
      <c r="L163" s="345">
        <f t="shared" si="295"/>
        <v>0</v>
      </c>
      <c r="M163" s="345">
        <f t="shared" si="295"/>
        <v>0</v>
      </c>
      <c r="N163" s="345">
        <f t="shared" si="295"/>
        <v>0</v>
      </c>
      <c r="O163" s="345">
        <f t="shared" si="295"/>
        <v>0</v>
      </c>
      <c r="P163" s="346">
        <f>SUM(D163:O163)</f>
        <v>0</v>
      </c>
    </row>
    <row r="164" spans="2:17">
      <c r="B164" s="210"/>
      <c r="C164" s="214" t="s">
        <v>121</v>
      </c>
      <c r="D164" s="300"/>
      <c r="E164" s="300"/>
      <c r="F164" s="300"/>
      <c r="G164" s="300"/>
      <c r="H164" s="300"/>
      <c r="I164" s="300"/>
      <c r="J164" s="300"/>
      <c r="K164" s="300"/>
      <c r="L164" s="300"/>
      <c r="M164" s="300"/>
      <c r="N164" s="300"/>
      <c r="O164" s="300"/>
      <c r="P164" s="338">
        <f t="shared" ref="P164:P171" si="296">SUM(D164:O164)</f>
        <v>0</v>
      </c>
      <c r="Q164" s="145"/>
    </row>
    <row r="165" spans="2:17">
      <c r="B165" s="210"/>
      <c r="C165" s="215" t="s">
        <v>122</v>
      </c>
      <c r="D165" s="351">
        <f>D164*$G$8</f>
        <v>0</v>
      </c>
      <c r="E165" s="351">
        <f t="shared" ref="E165" si="297">E164*$G$8</f>
        <v>0</v>
      </c>
      <c r="F165" s="351">
        <f t="shared" ref="F165" si="298">F164*$G$8</f>
        <v>0</v>
      </c>
      <c r="G165" s="351">
        <f t="shared" ref="G165" si="299">G164*$G$8</f>
        <v>0</v>
      </c>
      <c r="H165" s="351">
        <f t="shared" ref="H165" si="300">H164*$G$8</f>
        <v>0</v>
      </c>
      <c r="I165" s="351">
        <f t="shared" ref="I165" si="301">I164*$G$8</f>
        <v>0</v>
      </c>
      <c r="J165" s="351">
        <f t="shared" ref="J165" si="302">J164*$G$8</f>
        <v>0</v>
      </c>
      <c r="K165" s="351">
        <f t="shared" ref="K165" si="303">K164*$G$8</f>
        <v>0</v>
      </c>
      <c r="L165" s="351">
        <f t="shared" ref="L165" si="304">L164*$G$8</f>
        <v>0</v>
      </c>
      <c r="M165" s="351">
        <f t="shared" ref="M165" si="305">M164*$G$8</f>
        <v>0</v>
      </c>
      <c r="N165" s="351">
        <f t="shared" ref="N165" si="306">N164*$G$8</f>
        <v>0</v>
      </c>
      <c r="O165" s="351">
        <f t="shared" ref="O165" si="307">O164*$G$8</f>
        <v>0</v>
      </c>
      <c r="P165" s="335">
        <f t="shared" si="296"/>
        <v>0</v>
      </c>
      <c r="Q165" s="145"/>
    </row>
    <row r="166" spans="2:17" ht="15.75" thickBot="1">
      <c r="B166" s="210"/>
      <c r="C166" s="216" t="s">
        <v>123</v>
      </c>
      <c r="D166" s="304"/>
      <c r="E166" s="304"/>
      <c r="F166" s="304"/>
      <c r="G166" s="304"/>
      <c r="H166" s="304"/>
      <c r="I166" s="304"/>
      <c r="J166" s="304"/>
      <c r="K166" s="304"/>
      <c r="L166" s="304"/>
      <c r="M166" s="304"/>
      <c r="N166" s="304"/>
      <c r="O166" s="304"/>
      <c r="P166" s="334">
        <f>SUM(D166:O166)</f>
        <v>0</v>
      </c>
      <c r="Q166" s="145"/>
    </row>
    <row r="167" spans="2:17">
      <c r="B167" s="210"/>
      <c r="C167" s="116" t="s">
        <v>124</v>
      </c>
      <c r="D167" s="305"/>
      <c r="E167" s="305"/>
      <c r="F167" s="305"/>
      <c r="G167" s="305"/>
      <c r="H167" s="305"/>
      <c r="I167" s="305"/>
      <c r="J167" s="305"/>
      <c r="K167" s="305"/>
      <c r="L167" s="305"/>
      <c r="M167" s="305"/>
      <c r="N167" s="305"/>
      <c r="O167" s="305"/>
      <c r="P167" s="335">
        <f t="shared" si="296"/>
        <v>0</v>
      </c>
      <c r="Q167" s="145"/>
    </row>
    <row r="168" spans="2:17" ht="14.85" customHeight="1">
      <c r="B168" s="117"/>
      <c r="C168" s="215" t="s">
        <v>125</v>
      </c>
      <c r="D168" s="351">
        <f>D167*$G$8</f>
        <v>0</v>
      </c>
      <c r="E168" s="351">
        <f t="shared" ref="E168" si="308">E167*$G$8</f>
        <v>0</v>
      </c>
      <c r="F168" s="351">
        <f t="shared" ref="F168" si="309">F167*$G$8</f>
        <v>0</v>
      </c>
      <c r="G168" s="351">
        <f t="shared" ref="G168" si="310">G167*$G$8</f>
        <v>0</v>
      </c>
      <c r="H168" s="351">
        <f t="shared" ref="H168" si="311">H167*$G$8</f>
        <v>0</v>
      </c>
      <c r="I168" s="351">
        <f t="shared" ref="I168" si="312">I167*$G$8</f>
        <v>0</v>
      </c>
      <c r="J168" s="351">
        <f t="shared" ref="J168" si="313">J167*$G$8</f>
        <v>0</v>
      </c>
      <c r="K168" s="351">
        <f t="shared" ref="K168" si="314">K167*$G$8</f>
        <v>0</v>
      </c>
      <c r="L168" s="351">
        <f t="shared" ref="L168" si="315">L167*$G$8</f>
        <v>0</v>
      </c>
      <c r="M168" s="351">
        <f t="shared" ref="M168" si="316">M167*$G$8</f>
        <v>0</v>
      </c>
      <c r="N168" s="351">
        <f t="shared" ref="N168" si="317">N167*$G$8</f>
        <v>0</v>
      </c>
      <c r="O168" s="351">
        <f t="shared" ref="O168" si="318">O167*$G$8</f>
        <v>0</v>
      </c>
      <c r="P168" s="338">
        <f t="shared" si="296"/>
        <v>0</v>
      </c>
    </row>
    <row r="169" spans="2:17" ht="14.85" customHeight="1" thickBot="1">
      <c r="B169" s="210"/>
      <c r="C169" s="216" t="s">
        <v>126</v>
      </c>
      <c r="D169" s="304"/>
      <c r="E169" s="304"/>
      <c r="F169" s="304"/>
      <c r="G169" s="304"/>
      <c r="H169" s="304"/>
      <c r="I169" s="304"/>
      <c r="J169" s="304"/>
      <c r="K169" s="304"/>
      <c r="L169" s="304"/>
      <c r="M169" s="304"/>
      <c r="N169" s="304"/>
      <c r="O169" s="304"/>
      <c r="P169" s="334">
        <f>SUM(D169:O169)</f>
        <v>0</v>
      </c>
    </row>
    <row r="170" spans="2:17" ht="14.85" customHeight="1" thickBot="1">
      <c r="B170" s="117"/>
      <c r="C170" s="217" t="s">
        <v>127</v>
      </c>
      <c r="D170" s="345">
        <f>D165+D166+D168+D169</f>
        <v>0</v>
      </c>
      <c r="E170" s="345">
        <f t="shared" ref="E170:O170" si="319">E165+E166+E168+E169</f>
        <v>0</v>
      </c>
      <c r="F170" s="345">
        <f t="shared" si="319"/>
        <v>0</v>
      </c>
      <c r="G170" s="345">
        <f t="shared" si="319"/>
        <v>0</v>
      </c>
      <c r="H170" s="345">
        <f t="shared" si="319"/>
        <v>0</v>
      </c>
      <c r="I170" s="345">
        <f t="shared" si="319"/>
        <v>0</v>
      </c>
      <c r="J170" s="345">
        <f t="shared" si="319"/>
        <v>0</v>
      </c>
      <c r="K170" s="345">
        <f t="shared" si="319"/>
        <v>0</v>
      </c>
      <c r="L170" s="345">
        <f t="shared" si="319"/>
        <v>0</v>
      </c>
      <c r="M170" s="345">
        <f t="shared" si="319"/>
        <v>0</v>
      </c>
      <c r="N170" s="345">
        <f t="shared" si="319"/>
        <v>0</v>
      </c>
      <c r="O170" s="345">
        <f t="shared" si="319"/>
        <v>0</v>
      </c>
      <c r="P170" s="346">
        <f t="shared" si="296"/>
        <v>0</v>
      </c>
    </row>
    <row r="171" spans="2:17" ht="15.75" thickBot="1">
      <c r="B171" s="117"/>
      <c r="C171" s="152" t="s">
        <v>128</v>
      </c>
      <c r="D171" s="352">
        <f t="shared" ref="D171:O171" si="320">D163+D170</f>
        <v>0</v>
      </c>
      <c r="E171" s="352">
        <f t="shared" si="320"/>
        <v>0</v>
      </c>
      <c r="F171" s="352">
        <f t="shared" si="320"/>
        <v>0</v>
      </c>
      <c r="G171" s="352">
        <f t="shared" si="320"/>
        <v>0</v>
      </c>
      <c r="H171" s="352">
        <f t="shared" si="320"/>
        <v>0</v>
      </c>
      <c r="I171" s="352">
        <f t="shared" si="320"/>
        <v>0</v>
      </c>
      <c r="J171" s="352">
        <f t="shared" si="320"/>
        <v>0</v>
      </c>
      <c r="K171" s="352">
        <f t="shared" si="320"/>
        <v>0</v>
      </c>
      <c r="L171" s="352">
        <f t="shared" si="320"/>
        <v>0</v>
      </c>
      <c r="M171" s="352">
        <f t="shared" si="320"/>
        <v>0</v>
      </c>
      <c r="N171" s="352">
        <f t="shared" si="320"/>
        <v>0</v>
      </c>
      <c r="O171" s="352">
        <f t="shared" si="320"/>
        <v>0</v>
      </c>
      <c r="P171" s="346">
        <f t="shared" si="296"/>
        <v>0</v>
      </c>
    </row>
    <row r="172" spans="2:17">
      <c r="B172" s="117"/>
      <c r="C172" s="218" t="s">
        <v>129</v>
      </c>
      <c r="D172" s="353" t="e">
        <f>D171/ÜLDANDMED!D41</f>
        <v>#DIV/0!</v>
      </c>
      <c r="E172" s="353" t="e">
        <f>E171/ÜLDANDMED!E41</f>
        <v>#DIV/0!</v>
      </c>
      <c r="F172" s="353" t="e">
        <f>F171/ÜLDANDMED!F41</f>
        <v>#DIV/0!</v>
      </c>
      <c r="G172" s="353" t="e">
        <f>G171/ÜLDANDMED!G41</f>
        <v>#DIV/0!</v>
      </c>
      <c r="H172" s="353" t="e">
        <f>H171/ÜLDANDMED!H41</f>
        <v>#DIV/0!</v>
      </c>
      <c r="I172" s="353" t="e">
        <f>I171/ÜLDANDMED!I41</f>
        <v>#DIV/0!</v>
      </c>
      <c r="J172" s="353" t="e">
        <f>J171/ÜLDANDMED!J41</f>
        <v>#DIV/0!</v>
      </c>
      <c r="K172" s="353" t="e">
        <f>K171/ÜLDANDMED!K41</f>
        <v>#DIV/0!</v>
      </c>
      <c r="L172" s="353" t="e">
        <f>L171/ÜLDANDMED!L41</f>
        <v>#DIV/0!</v>
      </c>
      <c r="M172" s="353" t="e">
        <f>M171/ÜLDANDMED!M41</f>
        <v>#DIV/0!</v>
      </c>
      <c r="N172" s="353" t="e">
        <f>N171/ÜLDANDMED!N41</f>
        <v>#DIV/0!</v>
      </c>
      <c r="O172" s="353" t="e">
        <f>O171/ÜLDANDMED!O41</f>
        <v>#DIV/0!</v>
      </c>
      <c r="P172" s="338" t="e">
        <f>P171/ööbimised_2029</f>
        <v>#DIV/0!</v>
      </c>
    </row>
    <row r="173" spans="2:17" ht="15.75" thickBot="1">
      <c r="B173" s="164"/>
      <c r="C173" s="220" t="s">
        <v>130</v>
      </c>
      <c r="D173" s="348" t="e">
        <f t="shared" ref="D173:P173" si="321">D163/D171</f>
        <v>#DIV/0!</v>
      </c>
      <c r="E173" s="348" t="e">
        <f t="shared" si="321"/>
        <v>#DIV/0!</v>
      </c>
      <c r="F173" s="348" t="e">
        <f t="shared" si="321"/>
        <v>#DIV/0!</v>
      </c>
      <c r="G173" s="348" t="e">
        <f t="shared" si="321"/>
        <v>#DIV/0!</v>
      </c>
      <c r="H173" s="348" t="e">
        <f t="shared" si="321"/>
        <v>#DIV/0!</v>
      </c>
      <c r="I173" s="348" t="e">
        <f t="shared" si="321"/>
        <v>#DIV/0!</v>
      </c>
      <c r="J173" s="348" t="e">
        <f t="shared" si="321"/>
        <v>#DIV/0!</v>
      </c>
      <c r="K173" s="348" t="e">
        <f t="shared" si="321"/>
        <v>#DIV/0!</v>
      </c>
      <c r="L173" s="348" t="e">
        <f t="shared" si="321"/>
        <v>#DIV/0!</v>
      </c>
      <c r="M173" s="348" t="e">
        <f t="shared" si="321"/>
        <v>#DIV/0!</v>
      </c>
      <c r="N173" s="348" t="e">
        <f t="shared" si="321"/>
        <v>#DIV/0!</v>
      </c>
      <c r="O173" s="348" t="e">
        <f t="shared" si="321"/>
        <v>#DIV/0!</v>
      </c>
      <c r="P173" s="349" t="e">
        <f t="shared" si="321"/>
        <v>#DIV/0!</v>
      </c>
      <c r="Q173" s="221"/>
    </row>
    <row r="174" spans="2:17" ht="14.85" customHeight="1">
      <c r="B174" s="226"/>
      <c r="D174" s="1"/>
      <c r="E174" s="1"/>
      <c r="F174" s="1"/>
      <c r="G174" s="1"/>
      <c r="H174" s="1"/>
      <c r="I174" s="1"/>
      <c r="J174" s="1"/>
      <c r="K174" s="1"/>
      <c r="L174" s="1"/>
      <c r="M174" s="1"/>
      <c r="N174" s="1"/>
      <c r="O174" s="1"/>
      <c r="P174" s="1"/>
    </row>
    <row r="175" spans="2:17" ht="14.85" customHeight="1" thickBot="1">
      <c r="B175" s="226"/>
      <c r="D175" s="1"/>
      <c r="E175" s="1"/>
      <c r="F175" s="1"/>
      <c r="G175" s="1"/>
      <c r="H175" s="1"/>
      <c r="I175" s="1"/>
      <c r="J175" s="1"/>
      <c r="K175" s="1"/>
      <c r="L175" s="1"/>
      <c r="M175" s="1"/>
      <c r="N175" s="1"/>
      <c r="O175" s="1"/>
      <c r="P175" s="1"/>
    </row>
    <row r="176" spans="2:17">
      <c r="B176" s="653" t="s">
        <v>28</v>
      </c>
      <c r="C176" s="651" t="s">
        <v>52</v>
      </c>
      <c r="D176" s="659" t="s">
        <v>30</v>
      </c>
      <c r="E176" s="655" t="s">
        <v>31</v>
      </c>
      <c r="F176" s="655" t="s">
        <v>32</v>
      </c>
      <c r="G176" s="655" t="s">
        <v>33</v>
      </c>
      <c r="H176" s="655" t="s">
        <v>34</v>
      </c>
      <c r="I176" s="655" t="s">
        <v>35</v>
      </c>
      <c r="J176" s="655" t="s">
        <v>36</v>
      </c>
      <c r="K176" s="655" t="s">
        <v>37</v>
      </c>
      <c r="L176" s="655" t="s">
        <v>38</v>
      </c>
      <c r="M176" s="655" t="s">
        <v>39</v>
      </c>
      <c r="N176" s="655" t="s">
        <v>40</v>
      </c>
      <c r="O176" s="657" t="s">
        <v>41</v>
      </c>
      <c r="P176" s="653" t="s">
        <v>42</v>
      </c>
    </row>
    <row r="177" spans="2:21" ht="15.75" thickBot="1">
      <c r="B177" s="654"/>
      <c r="C177" s="652"/>
      <c r="D177" s="660"/>
      <c r="E177" s="656"/>
      <c r="F177" s="656"/>
      <c r="G177" s="656"/>
      <c r="H177" s="656"/>
      <c r="I177" s="656"/>
      <c r="J177" s="656"/>
      <c r="K177" s="656"/>
      <c r="L177" s="656"/>
      <c r="M177" s="656"/>
      <c r="N177" s="656"/>
      <c r="O177" s="658"/>
      <c r="P177" s="654"/>
    </row>
    <row r="178" spans="2:21" ht="14.85" customHeight="1">
      <c r="B178" s="224">
        <f>ÜLDANDMED!J14</f>
        <v>2030</v>
      </c>
      <c r="C178" s="225" t="s">
        <v>108</v>
      </c>
      <c r="D178" s="305"/>
      <c r="E178" s="305"/>
      <c r="F178" s="305"/>
      <c r="G178" s="305"/>
      <c r="H178" s="305"/>
      <c r="I178" s="305"/>
      <c r="J178" s="305"/>
      <c r="K178" s="305"/>
      <c r="L178" s="305"/>
      <c r="M178" s="305"/>
      <c r="N178" s="305"/>
      <c r="O178" s="305"/>
      <c r="P178" s="335">
        <f>SUM(D178:O178)</f>
        <v>0</v>
      </c>
    </row>
    <row r="179" spans="2:21" s="10" customFormat="1" ht="14.85" customHeight="1">
      <c r="B179" s="117"/>
      <c r="C179" s="212" t="s">
        <v>109</v>
      </c>
      <c r="D179" s="351">
        <f>D178*$G$4</f>
        <v>0</v>
      </c>
      <c r="E179" s="351">
        <f t="shared" ref="E179" si="322">E178*$G$4</f>
        <v>0</v>
      </c>
      <c r="F179" s="351">
        <f t="shared" ref="F179" si="323">F178*$G$4</f>
        <v>0</v>
      </c>
      <c r="G179" s="351">
        <f t="shared" ref="G179" si="324">G178*$G$4</f>
        <v>0</v>
      </c>
      <c r="H179" s="351">
        <f t="shared" ref="H179" si="325">H178*$G$4</f>
        <v>0</v>
      </c>
      <c r="I179" s="351">
        <f t="shared" ref="I179" si="326">I178*$G$4</f>
        <v>0</v>
      </c>
      <c r="J179" s="351">
        <f t="shared" ref="J179" si="327">J178*$G$4</f>
        <v>0</v>
      </c>
      <c r="K179" s="351">
        <f t="shared" ref="K179" si="328">K178*$G$4</f>
        <v>0</v>
      </c>
      <c r="L179" s="351">
        <f t="shared" ref="L179" si="329">L178*$G$4</f>
        <v>0</v>
      </c>
      <c r="M179" s="351">
        <f t="shared" ref="M179" si="330">M178*$G$4</f>
        <v>0</v>
      </c>
      <c r="N179" s="351">
        <f t="shared" ref="N179" si="331">N178*$G$4</f>
        <v>0</v>
      </c>
      <c r="O179" s="351">
        <f t="shared" ref="O179" si="332">O178*$G$4</f>
        <v>0</v>
      </c>
      <c r="P179" s="335">
        <f>SUM(D179:O179)</f>
        <v>0</v>
      </c>
    </row>
    <row r="180" spans="2:21" s="10" customFormat="1" ht="14.85" customHeight="1" thickBot="1">
      <c r="B180" s="210"/>
      <c r="C180" s="213" t="s">
        <v>110</v>
      </c>
      <c r="D180" s="304"/>
      <c r="E180" s="304"/>
      <c r="F180" s="304"/>
      <c r="G180" s="304"/>
      <c r="H180" s="304"/>
      <c r="I180" s="304"/>
      <c r="J180" s="304"/>
      <c r="K180" s="304"/>
      <c r="L180" s="304"/>
      <c r="M180" s="304"/>
      <c r="N180" s="304"/>
      <c r="O180" s="304"/>
      <c r="P180" s="334">
        <f>SUM(D180:O180)</f>
        <v>0</v>
      </c>
      <c r="R180" s="1"/>
      <c r="S180" s="1"/>
      <c r="T180" s="1"/>
      <c r="U180" s="1"/>
    </row>
    <row r="181" spans="2:21" s="10" customFormat="1" ht="14.85" customHeight="1">
      <c r="B181" s="210"/>
      <c r="C181" s="225" t="s">
        <v>111</v>
      </c>
      <c r="D181" s="305"/>
      <c r="E181" s="305"/>
      <c r="F181" s="305"/>
      <c r="G181" s="305"/>
      <c r="H181" s="305"/>
      <c r="I181" s="305"/>
      <c r="J181" s="305"/>
      <c r="K181" s="305"/>
      <c r="L181" s="305"/>
      <c r="M181" s="305"/>
      <c r="N181" s="305"/>
      <c r="O181" s="305"/>
      <c r="P181" s="335">
        <f t="shared" ref="P181:P188" si="333">SUM(D181:O181)</f>
        <v>0</v>
      </c>
      <c r="R181" s="1"/>
      <c r="S181" s="1"/>
      <c r="T181" s="1"/>
      <c r="U181" s="1"/>
    </row>
    <row r="182" spans="2:21" s="10" customFormat="1" ht="14.85" customHeight="1">
      <c r="B182" s="115"/>
      <c r="C182" s="212" t="s">
        <v>112</v>
      </c>
      <c r="D182" s="351">
        <f>D181*$G$5</f>
        <v>0</v>
      </c>
      <c r="E182" s="351">
        <f t="shared" ref="E182" si="334">E181*$G$5</f>
        <v>0</v>
      </c>
      <c r="F182" s="351">
        <f t="shared" ref="F182" si="335">F181*$G$5</f>
        <v>0</v>
      </c>
      <c r="G182" s="351">
        <f t="shared" ref="G182" si="336">G181*$G$5</f>
        <v>0</v>
      </c>
      <c r="H182" s="351">
        <f t="shared" ref="H182" si="337">H181*$G$5</f>
        <v>0</v>
      </c>
      <c r="I182" s="351">
        <f t="shared" ref="I182" si="338">I181*$G$5</f>
        <v>0</v>
      </c>
      <c r="J182" s="351">
        <f t="shared" ref="J182" si="339">J181*$G$5</f>
        <v>0</v>
      </c>
      <c r="K182" s="351">
        <f t="shared" ref="K182" si="340">K181*$G$5</f>
        <v>0</v>
      </c>
      <c r="L182" s="351">
        <f t="shared" ref="L182" si="341">L181*$G$5</f>
        <v>0</v>
      </c>
      <c r="M182" s="351">
        <f t="shared" ref="M182" si="342">M181*$G$5</f>
        <v>0</v>
      </c>
      <c r="N182" s="351">
        <f t="shared" ref="N182" si="343">N181*$G$5</f>
        <v>0</v>
      </c>
      <c r="O182" s="351">
        <f t="shared" ref="O182" si="344">O181*$G$5</f>
        <v>0</v>
      </c>
      <c r="P182" s="335">
        <f t="shared" si="333"/>
        <v>0</v>
      </c>
      <c r="R182" s="1"/>
      <c r="S182" s="1"/>
      <c r="T182" s="1"/>
      <c r="U182" s="1"/>
    </row>
    <row r="183" spans="2:21" s="10" customFormat="1" ht="14.85" customHeight="1" thickBot="1">
      <c r="B183" s="210"/>
      <c r="C183" s="213" t="s">
        <v>113</v>
      </c>
      <c r="D183" s="304"/>
      <c r="E183" s="304"/>
      <c r="F183" s="304"/>
      <c r="G183" s="304"/>
      <c r="H183" s="304"/>
      <c r="I183" s="304"/>
      <c r="J183" s="304"/>
      <c r="K183" s="304"/>
      <c r="L183" s="304"/>
      <c r="M183" s="304"/>
      <c r="N183" s="304"/>
      <c r="O183" s="304"/>
      <c r="P183" s="334">
        <f>SUM(D183:O183)</f>
        <v>0</v>
      </c>
      <c r="R183" s="1"/>
      <c r="S183" s="1"/>
      <c r="T183" s="1"/>
      <c r="U183" s="1"/>
    </row>
    <row r="184" spans="2:21" ht="14.85" customHeight="1">
      <c r="B184" s="229"/>
      <c r="C184" s="225" t="s">
        <v>114</v>
      </c>
      <c r="D184" s="305"/>
      <c r="E184" s="305"/>
      <c r="F184" s="305"/>
      <c r="G184" s="305"/>
      <c r="H184" s="305"/>
      <c r="I184" s="305"/>
      <c r="J184" s="305"/>
      <c r="K184" s="305"/>
      <c r="L184" s="305"/>
      <c r="M184" s="305"/>
      <c r="N184" s="305"/>
      <c r="O184" s="305"/>
      <c r="P184" s="335">
        <f t="shared" si="333"/>
        <v>0</v>
      </c>
    </row>
    <row r="185" spans="2:21" ht="14.85" customHeight="1">
      <c r="B185" s="117"/>
      <c r="C185" s="212" t="s">
        <v>115</v>
      </c>
      <c r="D185" s="351">
        <f>D184*$G$6</f>
        <v>0</v>
      </c>
      <c r="E185" s="351">
        <f t="shared" ref="E185" si="345">E184*$G$6</f>
        <v>0</v>
      </c>
      <c r="F185" s="351">
        <f t="shared" ref="F185" si="346">F184*$G$6</f>
        <v>0</v>
      </c>
      <c r="G185" s="351">
        <f t="shared" ref="G185" si="347">G184*$G$6</f>
        <v>0</v>
      </c>
      <c r="H185" s="351">
        <f t="shared" ref="H185" si="348">H184*$G$6</f>
        <v>0</v>
      </c>
      <c r="I185" s="351">
        <f t="shared" ref="I185" si="349">I184*$G$6</f>
        <v>0</v>
      </c>
      <c r="J185" s="351">
        <f t="shared" ref="J185" si="350">J184*$G$6</f>
        <v>0</v>
      </c>
      <c r="K185" s="351">
        <f t="shared" ref="K185" si="351">K184*$G$6</f>
        <v>0</v>
      </c>
      <c r="L185" s="351">
        <f t="shared" ref="L185" si="352">L184*$G$6</f>
        <v>0</v>
      </c>
      <c r="M185" s="351">
        <f t="shared" ref="M185" si="353">M184*$G$6</f>
        <v>0</v>
      </c>
      <c r="N185" s="351">
        <f t="shared" ref="N185" si="354">N184*$G$6</f>
        <v>0</v>
      </c>
      <c r="O185" s="351">
        <f t="shared" ref="O185" si="355">O184*$G$6</f>
        <v>0</v>
      </c>
      <c r="P185" s="335">
        <f t="shared" si="333"/>
        <v>0</v>
      </c>
    </row>
    <row r="186" spans="2:21" ht="14.85" customHeight="1" thickBot="1">
      <c r="B186" s="210"/>
      <c r="C186" s="213" t="s">
        <v>116</v>
      </c>
      <c r="D186" s="304"/>
      <c r="E186" s="304"/>
      <c r="F186" s="304"/>
      <c r="G186" s="304"/>
      <c r="H186" s="304"/>
      <c r="I186" s="304"/>
      <c r="J186" s="304"/>
      <c r="K186" s="304"/>
      <c r="L186" s="304"/>
      <c r="M186" s="304"/>
      <c r="N186" s="304"/>
      <c r="O186" s="304"/>
      <c r="P186" s="334">
        <f>SUM(D186:O186)</f>
        <v>0</v>
      </c>
    </row>
    <row r="187" spans="2:21" ht="14.85" customHeight="1">
      <c r="B187" s="117"/>
      <c r="C187" s="225" t="s">
        <v>117</v>
      </c>
      <c r="D187" s="305"/>
      <c r="E187" s="305"/>
      <c r="F187" s="305"/>
      <c r="G187" s="305"/>
      <c r="H187" s="305"/>
      <c r="I187" s="305"/>
      <c r="J187" s="305"/>
      <c r="K187" s="305"/>
      <c r="L187" s="305"/>
      <c r="M187" s="305"/>
      <c r="N187" s="305"/>
      <c r="O187" s="305"/>
      <c r="P187" s="335">
        <f t="shared" si="333"/>
        <v>0</v>
      </c>
    </row>
    <row r="188" spans="2:21" ht="14.85" customHeight="1">
      <c r="B188" s="117"/>
      <c r="C188" s="212" t="s">
        <v>118</v>
      </c>
      <c r="D188" s="351">
        <f>D187*$G$7</f>
        <v>0</v>
      </c>
      <c r="E188" s="351">
        <f t="shared" ref="E188" si="356">E187*$G$7</f>
        <v>0</v>
      </c>
      <c r="F188" s="351">
        <f t="shared" ref="F188" si="357">F187*$G$7</f>
        <v>0</v>
      </c>
      <c r="G188" s="351">
        <f t="shared" ref="G188" si="358">G187*$G$7</f>
        <v>0</v>
      </c>
      <c r="H188" s="351">
        <f t="shared" ref="H188" si="359">H187*$G$7</f>
        <v>0</v>
      </c>
      <c r="I188" s="351">
        <f t="shared" ref="I188" si="360">I187*$G$7</f>
        <v>0</v>
      </c>
      <c r="J188" s="351">
        <f t="shared" ref="J188" si="361">J187*$G$7</f>
        <v>0</v>
      </c>
      <c r="K188" s="351">
        <f t="shared" ref="K188" si="362">K187*$G$7</f>
        <v>0</v>
      </c>
      <c r="L188" s="351">
        <f t="shared" ref="L188" si="363">L187*$G$7</f>
        <v>0</v>
      </c>
      <c r="M188" s="351">
        <f t="shared" ref="M188" si="364">M187*$G$7</f>
        <v>0</v>
      </c>
      <c r="N188" s="351">
        <f t="shared" ref="N188" si="365">N187*$G$7</f>
        <v>0</v>
      </c>
      <c r="O188" s="351">
        <f t="shared" ref="O188" si="366">O187*$G$7</f>
        <v>0</v>
      </c>
      <c r="P188" s="335">
        <f t="shared" si="333"/>
        <v>0</v>
      </c>
    </row>
    <row r="189" spans="2:21" ht="14.85" customHeight="1" thickBot="1">
      <c r="B189" s="210"/>
      <c r="C189" s="213" t="s">
        <v>119</v>
      </c>
      <c r="D189" s="304"/>
      <c r="E189" s="304"/>
      <c r="F189" s="304"/>
      <c r="G189" s="304"/>
      <c r="H189" s="304"/>
      <c r="I189" s="304"/>
      <c r="J189" s="304"/>
      <c r="K189" s="304"/>
      <c r="L189" s="304"/>
      <c r="M189" s="304"/>
      <c r="N189" s="304"/>
      <c r="O189" s="304"/>
      <c r="P189" s="334">
        <f>SUM(D189:O189)</f>
        <v>0</v>
      </c>
    </row>
    <row r="190" spans="2:21" ht="15.75" thickBot="1">
      <c r="B190" s="117"/>
      <c r="C190" s="152" t="s">
        <v>120</v>
      </c>
      <c r="D190" s="345">
        <f>D185+D186+D182+D183+D188+D189+D179+D180</f>
        <v>0</v>
      </c>
      <c r="E190" s="345">
        <f t="shared" ref="E190:O190" si="367">E185+E186+E182+E183+E188+E189+E179+E180</f>
        <v>0</v>
      </c>
      <c r="F190" s="345">
        <f t="shared" si="367"/>
        <v>0</v>
      </c>
      <c r="G190" s="345">
        <f t="shared" si="367"/>
        <v>0</v>
      </c>
      <c r="H190" s="345">
        <f t="shared" si="367"/>
        <v>0</v>
      </c>
      <c r="I190" s="345">
        <f t="shared" si="367"/>
        <v>0</v>
      </c>
      <c r="J190" s="345">
        <f t="shared" si="367"/>
        <v>0</v>
      </c>
      <c r="K190" s="345">
        <f t="shared" si="367"/>
        <v>0</v>
      </c>
      <c r="L190" s="345">
        <f t="shared" si="367"/>
        <v>0</v>
      </c>
      <c r="M190" s="345">
        <f t="shared" si="367"/>
        <v>0</v>
      </c>
      <c r="N190" s="345">
        <f t="shared" si="367"/>
        <v>0</v>
      </c>
      <c r="O190" s="345">
        <f t="shared" si="367"/>
        <v>0</v>
      </c>
      <c r="P190" s="346">
        <f>SUM(D190:O190)</f>
        <v>0</v>
      </c>
    </row>
    <row r="191" spans="2:21">
      <c r="B191" s="210"/>
      <c r="C191" s="214" t="s">
        <v>121</v>
      </c>
      <c r="D191" s="300"/>
      <c r="E191" s="300"/>
      <c r="F191" s="300"/>
      <c r="G191" s="300"/>
      <c r="H191" s="300"/>
      <c r="I191" s="300"/>
      <c r="J191" s="300"/>
      <c r="K191" s="300"/>
      <c r="L191" s="300"/>
      <c r="M191" s="300"/>
      <c r="N191" s="300"/>
      <c r="O191" s="300"/>
      <c r="P191" s="338">
        <f t="shared" ref="P191:P198" si="368">SUM(D191:O191)</f>
        <v>0</v>
      </c>
      <c r="Q191" s="145"/>
    </row>
    <row r="192" spans="2:21">
      <c r="B192" s="210"/>
      <c r="C192" s="215" t="s">
        <v>122</v>
      </c>
      <c r="D192" s="351">
        <f>D191*$G$8</f>
        <v>0</v>
      </c>
      <c r="E192" s="351">
        <f t="shared" ref="E192" si="369">E191*$G$8</f>
        <v>0</v>
      </c>
      <c r="F192" s="351">
        <f t="shared" ref="F192" si="370">F191*$G$8</f>
        <v>0</v>
      </c>
      <c r="G192" s="351">
        <f t="shared" ref="G192" si="371">G191*$G$8</f>
        <v>0</v>
      </c>
      <c r="H192" s="351">
        <f t="shared" ref="H192" si="372">H191*$G$8</f>
        <v>0</v>
      </c>
      <c r="I192" s="351">
        <f t="shared" ref="I192" si="373">I191*$G$8</f>
        <v>0</v>
      </c>
      <c r="J192" s="351">
        <f t="shared" ref="J192" si="374">J191*$G$8</f>
        <v>0</v>
      </c>
      <c r="K192" s="351">
        <f t="shared" ref="K192" si="375">K191*$G$8</f>
        <v>0</v>
      </c>
      <c r="L192" s="351">
        <f t="shared" ref="L192" si="376">L191*$G$8</f>
        <v>0</v>
      </c>
      <c r="M192" s="351">
        <f t="shared" ref="M192" si="377">M191*$G$8</f>
        <v>0</v>
      </c>
      <c r="N192" s="351">
        <f t="shared" ref="N192" si="378">N191*$G$8</f>
        <v>0</v>
      </c>
      <c r="O192" s="351">
        <f t="shared" ref="O192" si="379">O191*$G$8</f>
        <v>0</v>
      </c>
      <c r="P192" s="335">
        <f t="shared" si="368"/>
        <v>0</v>
      </c>
      <c r="Q192" s="145"/>
    </row>
    <row r="193" spans="2:17" ht="15.75" thickBot="1">
      <c r="B193" s="210"/>
      <c r="C193" s="216" t="s">
        <v>123</v>
      </c>
      <c r="D193" s="304"/>
      <c r="E193" s="304"/>
      <c r="F193" s="304"/>
      <c r="G193" s="304"/>
      <c r="H193" s="304"/>
      <c r="I193" s="304"/>
      <c r="J193" s="304"/>
      <c r="K193" s="304"/>
      <c r="L193" s="304"/>
      <c r="M193" s="304"/>
      <c r="N193" s="304"/>
      <c r="O193" s="304"/>
      <c r="P193" s="334">
        <f>SUM(D193:O193)</f>
        <v>0</v>
      </c>
      <c r="Q193" s="145"/>
    </row>
    <row r="194" spans="2:17">
      <c r="B194" s="210"/>
      <c r="C194" s="116" t="s">
        <v>124</v>
      </c>
      <c r="D194" s="305"/>
      <c r="E194" s="305"/>
      <c r="F194" s="305"/>
      <c r="G194" s="305"/>
      <c r="H194" s="305"/>
      <c r="I194" s="305"/>
      <c r="J194" s="305"/>
      <c r="K194" s="305"/>
      <c r="L194" s="305"/>
      <c r="M194" s="305"/>
      <c r="N194" s="305"/>
      <c r="O194" s="305"/>
      <c r="P194" s="335">
        <f t="shared" si="368"/>
        <v>0</v>
      </c>
      <c r="Q194" s="145"/>
    </row>
    <row r="195" spans="2:17" ht="14.85" customHeight="1">
      <c r="B195" s="117"/>
      <c r="C195" s="215" t="s">
        <v>125</v>
      </c>
      <c r="D195" s="351">
        <f>D194*$G$8</f>
        <v>0</v>
      </c>
      <c r="E195" s="351">
        <f t="shared" ref="E195" si="380">E194*$G$8</f>
        <v>0</v>
      </c>
      <c r="F195" s="351">
        <f t="shared" ref="F195" si="381">F194*$G$8</f>
        <v>0</v>
      </c>
      <c r="G195" s="351">
        <f t="shared" ref="G195" si="382">G194*$G$8</f>
        <v>0</v>
      </c>
      <c r="H195" s="351">
        <f t="shared" ref="H195" si="383">H194*$G$8</f>
        <v>0</v>
      </c>
      <c r="I195" s="351">
        <f t="shared" ref="I195" si="384">I194*$G$8</f>
        <v>0</v>
      </c>
      <c r="J195" s="351">
        <f t="shared" ref="J195" si="385">J194*$G$8</f>
        <v>0</v>
      </c>
      <c r="K195" s="351">
        <f t="shared" ref="K195" si="386">K194*$G$8</f>
        <v>0</v>
      </c>
      <c r="L195" s="351">
        <f t="shared" ref="L195" si="387">L194*$G$8</f>
        <v>0</v>
      </c>
      <c r="M195" s="351">
        <f t="shared" ref="M195" si="388">M194*$G$8</f>
        <v>0</v>
      </c>
      <c r="N195" s="351">
        <f t="shared" ref="N195" si="389">N194*$G$8</f>
        <v>0</v>
      </c>
      <c r="O195" s="351">
        <f t="shared" ref="O195" si="390">O194*$G$8</f>
        <v>0</v>
      </c>
      <c r="P195" s="338">
        <f t="shared" si="368"/>
        <v>0</v>
      </c>
    </row>
    <row r="196" spans="2:17" ht="14.85" customHeight="1" thickBot="1">
      <c r="B196" s="210"/>
      <c r="C196" s="216" t="s">
        <v>126</v>
      </c>
      <c r="D196" s="304"/>
      <c r="E196" s="304"/>
      <c r="F196" s="304"/>
      <c r="G196" s="304"/>
      <c r="H196" s="304"/>
      <c r="I196" s="304"/>
      <c r="J196" s="304"/>
      <c r="K196" s="304"/>
      <c r="L196" s="304"/>
      <c r="M196" s="304"/>
      <c r="N196" s="304"/>
      <c r="O196" s="304"/>
      <c r="P196" s="334">
        <f>SUM(D196:O196)</f>
        <v>0</v>
      </c>
    </row>
    <row r="197" spans="2:17" ht="14.85" customHeight="1" thickBot="1">
      <c r="B197" s="117"/>
      <c r="C197" s="217" t="s">
        <v>127</v>
      </c>
      <c r="D197" s="345">
        <f>D192+D193+D195+D196</f>
        <v>0</v>
      </c>
      <c r="E197" s="345">
        <f t="shared" ref="E197:O197" si="391">E192+E193+E195+E196</f>
        <v>0</v>
      </c>
      <c r="F197" s="345">
        <f t="shared" si="391"/>
        <v>0</v>
      </c>
      <c r="G197" s="345">
        <f t="shared" si="391"/>
        <v>0</v>
      </c>
      <c r="H197" s="345">
        <f t="shared" si="391"/>
        <v>0</v>
      </c>
      <c r="I197" s="345">
        <f t="shared" si="391"/>
        <v>0</v>
      </c>
      <c r="J197" s="345">
        <f t="shared" si="391"/>
        <v>0</v>
      </c>
      <c r="K197" s="345">
        <f t="shared" si="391"/>
        <v>0</v>
      </c>
      <c r="L197" s="345">
        <f t="shared" si="391"/>
        <v>0</v>
      </c>
      <c r="M197" s="345">
        <f t="shared" si="391"/>
        <v>0</v>
      </c>
      <c r="N197" s="345">
        <f t="shared" si="391"/>
        <v>0</v>
      </c>
      <c r="O197" s="345">
        <f t="shared" si="391"/>
        <v>0</v>
      </c>
      <c r="P197" s="346">
        <f t="shared" si="368"/>
        <v>0</v>
      </c>
    </row>
    <row r="198" spans="2:17" ht="15.75" thickBot="1">
      <c r="B198" s="117"/>
      <c r="C198" s="152" t="s">
        <v>128</v>
      </c>
      <c r="D198" s="352">
        <f t="shared" ref="D198:O198" si="392">D190+D197</f>
        <v>0</v>
      </c>
      <c r="E198" s="352">
        <f t="shared" si="392"/>
        <v>0</v>
      </c>
      <c r="F198" s="352">
        <f t="shared" si="392"/>
        <v>0</v>
      </c>
      <c r="G198" s="352">
        <f t="shared" si="392"/>
        <v>0</v>
      </c>
      <c r="H198" s="352">
        <f t="shared" si="392"/>
        <v>0</v>
      </c>
      <c r="I198" s="352">
        <f t="shared" si="392"/>
        <v>0</v>
      </c>
      <c r="J198" s="352">
        <f t="shared" si="392"/>
        <v>0</v>
      </c>
      <c r="K198" s="352">
        <f t="shared" si="392"/>
        <v>0</v>
      </c>
      <c r="L198" s="352">
        <f t="shared" si="392"/>
        <v>0</v>
      </c>
      <c r="M198" s="352">
        <f t="shared" si="392"/>
        <v>0</v>
      </c>
      <c r="N198" s="352">
        <f t="shared" si="392"/>
        <v>0</v>
      </c>
      <c r="O198" s="352">
        <f t="shared" si="392"/>
        <v>0</v>
      </c>
      <c r="P198" s="346">
        <f t="shared" si="368"/>
        <v>0</v>
      </c>
    </row>
    <row r="199" spans="2:17">
      <c r="B199" s="117"/>
      <c r="C199" s="218" t="s">
        <v>129</v>
      </c>
      <c r="D199" s="353" t="e">
        <f>D198/ÜLDANDMED!D44</f>
        <v>#DIV/0!</v>
      </c>
      <c r="E199" s="353" t="e">
        <f>E198/ÜLDANDMED!E44</f>
        <v>#DIV/0!</v>
      </c>
      <c r="F199" s="353" t="e">
        <f>F198/ÜLDANDMED!F44</f>
        <v>#DIV/0!</v>
      </c>
      <c r="G199" s="353" t="e">
        <f>G198/ÜLDANDMED!G44</f>
        <v>#DIV/0!</v>
      </c>
      <c r="H199" s="353" t="e">
        <f>H198/ÜLDANDMED!H44</f>
        <v>#DIV/0!</v>
      </c>
      <c r="I199" s="353" t="e">
        <f>I198/ÜLDANDMED!I44</f>
        <v>#DIV/0!</v>
      </c>
      <c r="J199" s="353" t="e">
        <f>J198/ÜLDANDMED!J44</f>
        <v>#DIV/0!</v>
      </c>
      <c r="K199" s="353" t="e">
        <f>K198/ÜLDANDMED!K44</f>
        <v>#DIV/0!</v>
      </c>
      <c r="L199" s="353" t="e">
        <f>L198/ÜLDANDMED!L44</f>
        <v>#DIV/0!</v>
      </c>
      <c r="M199" s="353" t="e">
        <f>M198/ÜLDANDMED!M44</f>
        <v>#DIV/0!</v>
      </c>
      <c r="N199" s="353" t="e">
        <f>N198/ÜLDANDMED!N44</f>
        <v>#DIV/0!</v>
      </c>
      <c r="O199" s="353" t="e">
        <f>O198/ÜLDANDMED!O44</f>
        <v>#DIV/0!</v>
      </c>
      <c r="P199" s="338" t="e">
        <f>P198/ÜLDANDMED!P44</f>
        <v>#DIV/0!</v>
      </c>
    </row>
    <row r="200" spans="2:17" ht="15.75" thickBot="1">
      <c r="B200" s="164"/>
      <c r="C200" s="220" t="s">
        <v>130</v>
      </c>
      <c r="D200" s="348" t="e">
        <f t="shared" ref="D200:P200" si="393">D190/D198</f>
        <v>#DIV/0!</v>
      </c>
      <c r="E200" s="348" t="e">
        <f t="shared" si="393"/>
        <v>#DIV/0!</v>
      </c>
      <c r="F200" s="348" t="e">
        <f t="shared" si="393"/>
        <v>#DIV/0!</v>
      </c>
      <c r="G200" s="348" t="e">
        <f t="shared" si="393"/>
        <v>#DIV/0!</v>
      </c>
      <c r="H200" s="348" t="e">
        <f t="shared" si="393"/>
        <v>#DIV/0!</v>
      </c>
      <c r="I200" s="348" t="e">
        <f t="shared" si="393"/>
        <v>#DIV/0!</v>
      </c>
      <c r="J200" s="348" t="e">
        <f t="shared" si="393"/>
        <v>#DIV/0!</v>
      </c>
      <c r="K200" s="348" t="e">
        <f t="shared" si="393"/>
        <v>#DIV/0!</v>
      </c>
      <c r="L200" s="348" t="e">
        <f t="shared" si="393"/>
        <v>#DIV/0!</v>
      </c>
      <c r="M200" s="348" t="e">
        <f t="shared" si="393"/>
        <v>#DIV/0!</v>
      </c>
      <c r="N200" s="348" t="e">
        <f t="shared" si="393"/>
        <v>#DIV/0!</v>
      </c>
      <c r="O200" s="348" t="e">
        <f t="shared" si="393"/>
        <v>#DIV/0!</v>
      </c>
      <c r="P200" s="349" t="e">
        <f t="shared" si="393"/>
        <v>#DIV/0!</v>
      </c>
      <c r="Q200" s="221"/>
    </row>
  </sheetData>
  <mergeCells count="93">
    <mergeCell ref="P41:P42"/>
    <mergeCell ref="L41:L42"/>
    <mergeCell ref="M41:M42"/>
    <mergeCell ref="H41:H42"/>
    <mergeCell ref="N41:N42"/>
    <mergeCell ref="O41:O42"/>
    <mergeCell ref="J41:J42"/>
    <mergeCell ref="J68:J69"/>
    <mergeCell ref="I41:I42"/>
    <mergeCell ref="K41:K42"/>
    <mergeCell ref="D68:D69"/>
    <mergeCell ref="D41:D42"/>
    <mergeCell ref="E41:E42"/>
    <mergeCell ref="F41:F42"/>
    <mergeCell ref="G41:G42"/>
    <mergeCell ref="E68:E69"/>
    <mergeCell ref="F68:F69"/>
    <mergeCell ref="G68:G69"/>
    <mergeCell ref="H68:H69"/>
    <mergeCell ref="I68:I69"/>
    <mergeCell ref="P68:P69"/>
    <mergeCell ref="N68:N69"/>
    <mergeCell ref="O68:O69"/>
    <mergeCell ref="K68:K69"/>
    <mergeCell ref="L68:L69"/>
    <mergeCell ref="M68:M69"/>
    <mergeCell ref="O95:O96"/>
    <mergeCell ref="D95:D96"/>
    <mergeCell ref="E95:E96"/>
    <mergeCell ref="F95:F96"/>
    <mergeCell ref="G95:G96"/>
    <mergeCell ref="H95:H96"/>
    <mergeCell ref="I95:I96"/>
    <mergeCell ref="J95:J96"/>
    <mergeCell ref="P95:P96"/>
    <mergeCell ref="P122:P123"/>
    <mergeCell ref="F122:F123"/>
    <mergeCell ref="G122:G123"/>
    <mergeCell ref="H122:H123"/>
    <mergeCell ref="I122:I123"/>
    <mergeCell ref="J122:J123"/>
    <mergeCell ref="K122:K123"/>
    <mergeCell ref="L122:L123"/>
    <mergeCell ref="M122:M123"/>
    <mergeCell ref="N122:N123"/>
    <mergeCell ref="O122:O123"/>
    <mergeCell ref="K95:K96"/>
    <mergeCell ref="L95:L96"/>
    <mergeCell ref="M95:M96"/>
    <mergeCell ref="N95:N96"/>
    <mergeCell ref="P149:P150"/>
    <mergeCell ref="I149:I150"/>
    <mergeCell ref="J149:J150"/>
    <mergeCell ref="D122:D123"/>
    <mergeCell ref="E122:E123"/>
    <mergeCell ref="K149:K150"/>
    <mergeCell ref="L149:L150"/>
    <mergeCell ref="M149:M150"/>
    <mergeCell ref="N149:N150"/>
    <mergeCell ref="O149:O150"/>
    <mergeCell ref="D149:D150"/>
    <mergeCell ref="E149:E150"/>
    <mergeCell ref="F149:F150"/>
    <mergeCell ref="G149:G150"/>
    <mergeCell ref="H149:H150"/>
    <mergeCell ref="N176:N177"/>
    <mergeCell ref="O176:O177"/>
    <mergeCell ref="D176:D177"/>
    <mergeCell ref="E176:E177"/>
    <mergeCell ref="F176:F177"/>
    <mergeCell ref="G176:G177"/>
    <mergeCell ref="H176:H177"/>
    <mergeCell ref="I176:I177"/>
    <mergeCell ref="J176:J177"/>
    <mergeCell ref="K176:K177"/>
    <mergeCell ref="L176:L177"/>
    <mergeCell ref="M176:M177"/>
    <mergeCell ref="B3:P3"/>
    <mergeCell ref="B9:P9"/>
    <mergeCell ref="C122:C123"/>
    <mergeCell ref="C149:C150"/>
    <mergeCell ref="C176:C177"/>
    <mergeCell ref="B11:C11"/>
    <mergeCell ref="B68:B69"/>
    <mergeCell ref="C41:C42"/>
    <mergeCell ref="C68:C69"/>
    <mergeCell ref="C95:C96"/>
    <mergeCell ref="B122:B123"/>
    <mergeCell ref="B41:B42"/>
    <mergeCell ref="B149:B150"/>
    <mergeCell ref="B95:B96"/>
    <mergeCell ref="P176:P177"/>
    <mergeCell ref="B176:B177"/>
  </mergeCells>
  <pageMargins left="0.70866141732283472" right="0.70866141732283472" top="0.74803149606299213" bottom="0.74803149606299213" header="0.31496062992125984" footer="0.31496062992125984"/>
  <pageSetup paperSize="9" scale="66" fitToHeight="6" orientation="landscape"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D3160-04CB-4F9C-858C-411F39186378}">
  <sheetPr>
    <tabColor rgb="FFD1ECDE"/>
    <pageSetUpPr fitToPage="1"/>
  </sheetPr>
  <dimension ref="A2:L50"/>
  <sheetViews>
    <sheetView showGridLines="0" zoomScaleNormal="100" workbookViewId="0">
      <pane xSplit="1" ySplit="2" topLeftCell="B3" activePane="bottomRight" state="frozen"/>
      <selection pane="bottomRight" activeCell="B33" sqref="B33"/>
      <selection pane="bottomLeft" activeCell="N14" sqref="N14"/>
      <selection pane="topRight" activeCell="N14" sqref="N14"/>
    </sheetView>
  </sheetViews>
  <sheetFormatPr defaultColWidth="9.140625" defaultRowHeight="15"/>
  <cols>
    <col min="1" max="1" width="2.5703125" style="1" customWidth="1"/>
    <col min="2" max="2" width="43.7109375" style="4" customWidth="1"/>
    <col min="3" max="9" width="9.42578125" style="4"/>
    <col min="10" max="16384" width="9.140625" style="1"/>
  </cols>
  <sheetData>
    <row r="2" spans="1:12" ht="18.75">
      <c r="B2" s="181" t="s">
        <v>131</v>
      </c>
    </row>
    <row r="3" spans="1:12" ht="36" customHeight="1">
      <c r="B3" s="632" t="s">
        <v>132</v>
      </c>
      <c r="C3" s="632"/>
      <c r="D3" s="632"/>
      <c r="E3" s="632"/>
      <c r="F3" s="632"/>
      <c r="G3" s="632"/>
      <c r="H3" s="632"/>
      <c r="I3" s="632"/>
      <c r="L3" s="64"/>
    </row>
    <row r="4" spans="1:12">
      <c r="A4" s="6"/>
    </row>
    <row r="5" spans="1:12">
      <c r="A5" s="6"/>
      <c r="B5" s="336" t="s">
        <v>17</v>
      </c>
    </row>
    <row r="6" spans="1:12">
      <c r="B6" s="155"/>
    </row>
    <row r="7" spans="1:12">
      <c r="B7" s="155" t="s">
        <v>133</v>
      </c>
    </row>
    <row r="8" spans="1:12">
      <c r="C8" s="185">
        <f>ÜLDANDMED!D14</f>
        <v>2024</v>
      </c>
      <c r="D8" s="185">
        <f>ÜLDANDMED!E14</f>
        <v>2025</v>
      </c>
      <c r="E8" s="185">
        <f>ÜLDANDMED!F14</f>
        <v>2026</v>
      </c>
      <c r="F8" s="185">
        <f>ÜLDANDMED!G14</f>
        <v>2027</v>
      </c>
      <c r="G8" s="185">
        <f>ÜLDANDMED!H14</f>
        <v>2028</v>
      </c>
      <c r="H8" s="185">
        <f>ÜLDANDMED!I14</f>
        <v>2029</v>
      </c>
      <c r="I8" s="185">
        <f>ÜLDANDMED!J14</f>
        <v>2030</v>
      </c>
    </row>
    <row r="9" spans="1:12">
      <c r="B9" s="186" t="str">
        <f>ELEKTER!C16</f>
        <v>Elektritarbimine majutusettevõttes (kWh)</v>
      </c>
      <c r="C9" s="354">
        <f>ELEKTER!P16</f>
        <v>0</v>
      </c>
      <c r="D9" s="355">
        <f>ELEKTER!P18</f>
        <v>0</v>
      </c>
      <c r="E9" s="355">
        <f>ELEKTER!P20</f>
        <v>0</v>
      </c>
      <c r="F9" s="355">
        <f>ELEKTER!P22</f>
        <v>0</v>
      </c>
      <c r="G9" s="355">
        <f>ELEKTER!P24</f>
        <v>0</v>
      </c>
      <c r="H9" s="355">
        <f>ELEKTER!P26</f>
        <v>0</v>
      </c>
      <c r="I9" s="355">
        <f>ELEKTER!P28</f>
        <v>0</v>
      </c>
    </row>
    <row r="10" spans="1:12">
      <c r="B10" s="185" t="str">
        <f>ELEKTER!C17</f>
        <v>Elektritarbimine ööbimise kohta (kWh/ööbimine)</v>
      </c>
      <c r="C10" s="356" t="e">
        <f>ELEKTER!P17</f>
        <v>#DIV/0!</v>
      </c>
      <c r="D10" s="357" t="e">
        <f>ELEKTER!P19</f>
        <v>#DIV/0!</v>
      </c>
      <c r="E10" s="357" t="e">
        <f>ELEKTER!P21</f>
        <v>#DIV/0!</v>
      </c>
      <c r="F10" s="357" t="e">
        <f>ELEKTER!P23</f>
        <v>#DIV/0!</v>
      </c>
      <c r="G10" s="357" t="e">
        <f>ELEKTER!P25</f>
        <v>#DIV/0!</v>
      </c>
      <c r="H10" s="357" t="e">
        <f>ELEKTER!P27</f>
        <v>#DIV/0!</v>
      </c>
      <c r="I10" s="355" t="e">
        <f>ELEKTER!P29</f>
        <v>#DIV/0!</v>
      </c>
    </row>
    <row r="11" spans="1:12">
      <c r="B11" s="127"/>
    </row>
    <row r="14" spans="1:12" ht="14.85" customHeight="1"/>
    <row r="15" spans="1:12">
      <c r="B15" s="155" t="s">
        <v>56</v>
      </c>
    </row>
    <row r="16" spans="1:12">
      <c r="C16" s="185">
        <f>ÜLDANDMED!D14</f>
        <v>2024</v>
      </c>
      <c r="D16" s="185">
        <f>ÜLDANDMED!E14</f>
        <v>2025</v>
      </c>
      <c r="E16" s="185">
        <f>ÜLDANDMED!F14</f>
        <v>2026</v>
      </c>
      <c r="F16" s="185">
        <f>ÜLDANDMED!G14</f>
        <v>2027</v>
      </c>
      <c r="G16" s="185">
        <f>ÜLDANDMED!H14</f>
        <v>2028</v>
      </c>
      <c r="H16" s="185">
        <f>ÜLDANDMED!I14</f>
        <v>2029</v>
      </c>
      <c r="I16" s="185">
        <f>ÜLDANDMED!J14</f>
        <v>2030</v>
      </c>
    </row>
    <row r="17" spans="2:9">
      <c r="B17" s="187" t="str">
        <f>SOOJUS!C16</f>
        <v>Soojusenergia tarbimine majutusettevõttes (kWh)</v>
      </c>
      <c r="C17" s="355">
        <f>SOOJUS!P16</f>
        <v>0</v>
      </c>
      <c r="D17" s="355">
        <f>SOOJUS!P19</f>
        <v>0</v>
      </c>
      <c r="E17" s="355">
        <f>SOOJUS!P22</f>
        <v>0</v>
      </c>
      <c r="F17" s="355">
        <f>SOOJUS!P25</f>
        <v>0</v>
      </c>
      <c r="G17" s="355">
        <f>SOOJUS!P28</f>
        <v>0</v>
      </c>
      <c r="H17" s="355">
        <f>SOOJUS!P31</f>
        <v>0</v>
      </c>
      <c r="I17" s="355">
        <f>SOOJUS!P34</f>
        <v>0</v>
      </c>
    </row>
    <row r="18" spans="2:9">
      <c r="B18" s="188" t="s">
        <v>134</v>
      </c>
      <c r="C18" s="355" t="e">
        <f>SOOJUS!P18</f>
        <v>#DIV/0!</v>
      </c>
      <c r="D18" s="355" t="e">
        <f>SOOJUS!P21</f>
        <v>#DIV/0!</v>
      </c>
      <c r="E18" s="355" t="e">
        <f>SOOJUS!P24</f>
        <v>#DIV/0!</v>
      </c>
      <c r="F18" s="355" t="e">
        <f>SOOJUS!P27</f>
        <v>#DIV/0!</v>
      </c>
      <c r="G18" s="355" t="e">
        <f>SOOJUS!P30</f>
        <v>#DIV/0!</v>
      </c>
      <c r="H18" s="355" t="e">
        <f>SOOJUS!P33</f>
        <v>#DIV/0!</v>
      </c>
      <c r="I18" s="355" t="e">
        <f>SOOJUS!P36</f>
        <v>#DIV/0!</v>
      </c>
    </row>
    <row r="19" spans="2:9" ht="14.85" customHeight="1"/>
    <row r="20" spans="2:9" ht="14.85" customHeight="1"/>
    <row r="23" spans="2:9">
      <c r="B23" s="155" t="s">
        <v>69</v>
      </c>
      <c r="C23" s="189"/>
      <c r="D23" s="189"/>
      <c r="E23" s="189"/>
      <c r="F23" s="189"/>
      <c r="G23" s="189"/>
      <c r="H23" s="189"/>
    </row>
    <row r="24" spans="2:9" ht="14.85" customHeight="1">
      <c r="C24" s="185">
        <f>ÜLDANDMED!D14</f>
        <v>2024</v>
      </c>
      <c r="D24" s="185">
        <f>ÜLDANDMED!E14</f>
        <v>2025</v>
      </c>
      <c r="E24" s="185">
        <f>ÜLDANDMED!F14</f>
        <v>2026</v>
      </c>
      <c r="F24" s="185">
        <f>ÜLDANDMED!G14</f>
        <v>2027</v>
      </c>
      <c r="G24" s="185">
        <f>ÜLDANDMED!H14</f>
        <v>2028</v>
      </c>
      <c r="H24" s="185">
        <f>ÜLDANDMED!I14</f>
        <v>2029</v>
      </c>
      <c r="I24" s="185">
        <f>ÜLDANDMED!J14</f>
        <v>2030</v>
      </c>
    </row>
    <row r="25" spans="2:9" ht="14.85" customHeight="1">
      <c r="B25" s="186" t="str">
        <f>VESI!C16</f>
        <v>Veetarbimine majutusettevõttes (m³)</v>
      </c>
      <c r="C25" s="356">
        <f>VESI!P16</f>
        <v>0</v>
      </c>
      <c r="D25" s="357">
        <f>VESI!P18</f>
        <v>0</v>
      </c>
      <c r="E25" s="357">
        <f>VESI!P20</f>
        <v>0</v>
      </c>
      <c r="F25" s="357">
        <f>VESI!P22</f>
        <v>0</v>
      </c>
      <c r="G25" s="357">
        <f>VESI!P24</f>
        <v>0</v>
      </c>
      <c r="H25" s="357">
        <f>VESI!P26</f>
        <v>0</v>
      </c>
      <c r="I25" s="355">
        <f>VESI!P28</f>
        <v>0</v>
      </c>
    </row>
    <row r="26" spans="2:9" ht="14.85" customHeight="1">
      <c r="B26" s="185" t="str">
        <f>VESI!C17</f>
        <v>Veetarbimine ööbimise kohta (m³/ööbimine)</v>
      </c>
      <c r="C26" s="356" t="e">
        <f>VESI!P17</f>
        <v>#DIV/0!</v>
      </c>
      <c r="D26" s="357" t="e">
        <f>VESI!P19</f>
        <v>#DIV/0!</v>
      </c>
      <c r="E26" s="357" t="e">
        <f>VESI!P21</f>
        <v>#DIV/0!</v>
      </c>
      <c r="F26" s="357" t="e">
        <f>VESI!P23</f>
        <v>#DIV/0!</v>
      </c>
      <c r="G26" s="357" t="e">
        <f>VESI!P25</f>
        <v>#DIV/0!</v>
      </c>
      <c r="H26" s="357" t="e">
        <f>VESI!P27</f>
        <v>#DIV/0!</v>
      </c>
      <c r="I26" s="355" t="e">
        <f>VESI!P29</f>
        <v>#DIV/0!</v>
      </c>
    </row>
    <row r="27" spans="2:9" ht="14.85" customHeight="1"/>
    <row r="31" spans="2:9">
      <c r="B31" s="155" t="s">
        <v>76</v>
      </c>
    </row>
    <row r="32" spans="2:9">
      <c r="C32" s="185">
        <f>ÜLDANDMED!D14</f>
        <v>2024</v>
      </c>
      <c r="D32" s="185">
        <f>ÜLDANDMED!E14</f>
        <v>2025</v>
      </c>
      <c r="E32" s="185">
        <f>ÜLDANDMED!F14</f>
        <v>2026</v>
      </c>
      <c r="F32" s="185">
        <f>ÜLDANDMED!G14</f>
        <v>2027</v>
      </c>
      <c r="G32" s="185">
        <f>ÜLDANDMED!H14</f>
        <v>2028</v>
      </c>
      <c r="H32" s="185">
        <f>ÜLDANDMED!I14</f>
        <v>2029</v>
      </c>
      <c r="I32" s="185">
        <f>ÜLDANDMED!J14</f>
        <v>2030</v>
      </c>
    </row>
    <row r="33" spans="2:10" ht="14.85" customHeight="1">
      <c r="B33" s="187" t="s">
        <v>135</v>
      </c>
      <c r="C33" s="357">
        <f>PABER!D18+PABER!D20+PABER!D22+PABER!D24</f>
        <v>0</v>
      </c>
      <c r="D33" s="357">
        <f>PABER!D27+PABER!D29+PABER!D31+PABER!D33</f>
        <v>0</v>
      </c>
      <c r="E33" s="357">
        <f>PABER!D36+PABER!D38+PABER!D40+PABER!D42</f>
        <v>0</v>
      </c>
      <c r="F33" s="357">
        <f>PABER!D45+PABER!D47+PABER!D49+PABER!D51</f>
        <v>0</v>
      </c>
      <c r="G33" s="357">
        <f>PABER!D54+PABER!D56+PABER!D58+PABER!D60</f>
        <v>0</v>
      </c>
      <c r="H33" s="357">
        <f>PABER!D63+PABER!D65+PABER!D67+PABER!D69</f>
        <v>0</v>
      </c>
      <c r="I33" s="357">
        <f>PABER!D72+PABER!D74+PABER!D76+PABER!D78</f>
        <v>0</v>
      </c>
    </row>
    <row r="34" spans="2:10" ht="14.85" customHeight="1">
      <c r="B34" s="187" t="s">
        <v>136</v>
      </c>
      <c r="C34" s="357" t="e">
        <f>C33/ööbimised_2024</f>
        <v>#DIV/0!</v>
      </c>
      <c r="D34" s="357" t="e">
        <f>D33/ööbimised_2025</f>
        <v>#DIV/0!</v>
      </c>
      <c r="E34" s="357" t="e">
        <f>E33/ööbimised_2026</f>
        <v>#DIV/0!</v>
      </c>
      <c r="F34" s="357" t="e">
        <f>F33/ööbimised_2027</f>
        <v>#DIV/0!</v>
      </c>
      <c r="G34" s="357" t="e">
        <f>G33/ööbimised_2028</f>
        <v>#DIV/0!</v>
      </c>
      <c r="H34" s="357" t="e">
        <f>H33/ööbimised_2029</f>
        <v>#DIV/0!</v>
      </c>
      <c r="I34" s="357" t="e">
        <f>I33/ööbimised_2030</f>
        <v>#DIV/0!</v>
      </c>
    </row>
    <row r="36" spans="2:10">
      <c r="J36" s="64"/>
    </row>
    <row r="39" spans="2:10" ht="14.85" customHeight="1">
      <c r="B39" s="155" t="s">
        <v>137</v>
      </c>
    </row>
    <row r="40" spans="2:10" ht="14.85" customHeight="1">
      <c r="C40" s="185">
        <f>ÜLDANDMED!D14</f>
        <v>2024</v>
      </c>
      <c r="D40" s="185">
        <f>ÜLDANDMED!E14</f>
        <v>2025</v>
      </c>
      <c r="E40" s="185">
        <f>ÜLDANDMED!F14</f>
        <v>2026</v>
      </c>
      <c r="F40" s="185">
        <f>ÜLDANDMED!G14</f>
        <v>2027</v>
      </c>
      <c r="G40" s="185">
        <f>ÜLDANDMED!H14</f>
        <v>2028</v>
      </c>
      <c r="H40" s="185">
        <f>ÜLDANDMED!I14</f>
        <v>2029</v>
      </c>
      <c r="I40" s="185">
        <f>ÜLDANDMED!J14</f>
        <v>2030</v>
      </c>
    </row>
    <row r="41" spans="2:10">
      <c r="B41" s="188" t="str">
        <f>JÄÄTMED!C18</f>
        <v>Liigiti kogutud biojäätmed (kg)</v>
      </c>
      <c r="C41" s="357">
        <f>JÄÄTMED!P17+JÄÄTMED!P18</f>
        <v>0</v>
      </c>
      <c r="D41" s="357">
        <f>JÄÄTMED!P44+JÄÄTMED!P45</f>
        <v>0</v>
      </c>
      <c r="E41" s="357">
        <f>JÄÄTMED!P71+JÄÄTMED!P72</f>
        <v>0</v>
      </c>
      <c r="F41" s="357">
        <f>JÄÄTMED!P98+JÄÄTMED!P99</f>
        <v>0</v>
      </c>
      <c r="G41" s="357">
        <f>JÄÄTMED!P125+JÄÄTMED!P126</f>
        <v>0</v>
      </c>
      <c r="H41" s="357">
        <f>JÄÄTMED!P152+JÄÄTMED!P153</f>
        <v>0</v>
      </c>
      <c r="I41" s="355">
        <f>JÄÄTMED!P179+JÄÄTMED!P180</f>
        <v>0</v>
      </c>
    </row>
    <row r="42" spans="2:10">
      <c r="B42" s="188" t="str">
        <f>JÄÄTMED!C21</f>
        <v>Liigiti kogutud klaaspakend (kg)</v>
      </c>
      <c r="C42" s="357">
        <f>JÄÄTMED!P20+JÄÄTMED!P21</f>
        <v>0</v>
      </c>
      <c r="D42" s="357">
        <f>JÄÄTMED!P47+JÄÄTMED!P48</f>
        <v>0</v>
      </c>
      <c r="E42" s="357">
        <f>JÄÄTMED!P74+JÄÄTMED!P75</f>
        <v>0</v>
      </c>
      <c r="F42" s="357">
        <f>JÄÄTMED!P101+JÄÄTMED!P102</f>
        <v>0</v>
      </c>
      <c r="G42" s="357">
        <f>JÄÄTMED!P128+JÄÄTMED!P129</f>
        <v>0</v>
      </c>
      <c r="H42" s="357">
        <f>JÄÄTMED!P155+JÄÄTMED!P156</f>
        <v>0</v>
      </c>
      <c r="I42" s="357">
        <f>JÄÄTMED!P182+JÄÄTMED!P183</f>
        <v>0</v>
      </c>
    </row>
    <row r="43" spans="2:10">
      <c r="B43" s="187" t="str">
        <f>JÄÄTMED!C24</f>
        <v>Liigiti kogutud paber ja kartong (kg)</v>
      </c>
      <c r="C43" s="357">
        <f>JÄÄTMED!P23+JÄÄTMED!P24</f>
        <v>0</v>
      </c>
      <c r="D43" s="357">
        <f>JÄÄTMED!P50+JÄÄTMED!P51</f>
        <v>0</v>
      </c>
      <c r="E43" s="357">
        <f>JÄÄTMED!P77+JÄÄTMED!P78</f>
        <v>0</v>
      </c>
      <c r="F43" s="357">
        <f>JÄÄTMED!P104+JÄÄTMED!P105</f>
        <v>0</v>
      </c>
      <c r="G43" s="357">
        <f>JÄÄTMED!P131+JÄÄTMED!P132</f>
        <v>0</v>
      </c>
      <c r="H43" s="357">
        <f>JÄÄTMED!P158+JÄÄTMED!P159</f>
        <v>0</v>
      </c>
      <c r="I43" s="355">
        <f>JÄÄTMED!P185+JÄÄTMED!P186</f>
        <v>0</v>
      </c>
    </row>
    <row r="44" spans="2:10">
      <c r="B44" s="188" t="str">
        <f>JÄÄTMED!C27</f>
        <v>Liigiti kogutud segapakend (kg)</v>
      </c>
      <c r="C44" s="357">
        <f>JÄÄTMED!P26+JÄÄTMED!P27</f>
        <v>0</v>
      </c>
      <c r="D44" s="357">
        <f>JÄÄTMED!P53+JÄÄTMED!P54</f>
        <v>0</v>
      </c>
      <c r="E44" s="357">
        <f>JÄÄTMED!P80+JÄÄTMED!P81</f>
        <v>0</v>
      </c>
      <c r="F44" s="357">
        <f>JÄÄTMED!P107+JÄÄTMED!P108</f>
        <v>0</v>
      </c>
      <c r="G44" s="357">
        <f>JÄÄTMED!P134+JÄÄTMED!P135</f>
        <v>0</v>
      </c>
      <c r="H44" s="357">
        <f>JÄÄTMED!P161+JÄÄTMED!P162</f>
        <v>0</v>
      </c>
      <c r="I44" s="355">
        <f>JÄÄTMED!P188+JÄÄTMED!P189</f>
        <v>0</v>
      </c>
    </row>
    <row r="45" spans="2:10">
      <c r="B45" s="190" t="s">
        <v>138</v>
      </c>
      <c r="C45" s="358">
        <f>JÄÄTMED!P28</f>
        <v>0</v>
      </c>
      <c r="D45" s="358">
        <f>JÄÄTMED!P55</f>
        <v>0</v>
      </c>
      <c r="E45" s="358">
        <f>JÄÄTMED!P82</f>
        <v>0</v>
      </c>
      <c r="F45" s="358">
        <f>JÄÄTMED!P109</f>
        <v>0</v>
      </c>
      <c r="G45" s="358">
        <f>JÄÄTMED!P136</f>
        <v>0</v>
      </c>
      <c r="H45" s="358">
        <f>JÄÄTMED!P163</f>
        <v>0</v>
      </c>
      <c r="I45" s="358">
        <f>JÄÄTMED!P190</f>
        <v>0</v>
      </c>
    </row>
    <row r="46" spans="2:10">
      <c r="B46" s="187" t="s">
        <v>139</v>
      </c>
      <c r="C46" s="357">
        <f>JÄÄTMED!P35</f>
        <v>0</v>
      </c>
      <c r="D46" s="357">
        <f>JÄÄTMED!P62</f>
        <v>0</v>
      </c>
      <c r="E46" s="357">
        <f>JÄÄTMED!P89</f>
        <v>0</v>
      </c>
      <c r="F46" s="357">
        <f>JÄÄTMED!P116</f>
        <v>0</v>
      </c>
      <c r="G46" s="357">
        <f>JÄÄTMED!P143</f>
        <v>0</v>
      </c>
      <c r="H46" s="357">
        <f>JÄÄTMED!P170</f>
        <v>0</v>
      </c>
      <c r="I46" s="355">
        <f>JÄÄTMED!P197</f>
        <v>0</v>
      </c>
    </row>
    <row r="47" spans="2:10">
      <c r="B47" s="191" t="s">
        <v>140</v>
      </c>
      <c r="C47" s="357">
        <f>C45+C46</f>
        <v>0</v>
      </c>
      <c r="D47" s="357">
        <f t="shared" ref="D47:I47" si="0">D45+D46</f>
        <v>0</v>
      </c>
      <c r="E47" s="357">
        <f t="shared" si="0"/>
        <v>0</v>
      </c>
      <c r="F47" s="357">
        <f t="shared" si="0"/>
        <v>0</v>
      </c>
      <c r="G47" s="357">
        <f t="shared" si="0"/>
        <v>0</v>
      </c>
      <c r="H47" s="357">
        <f t="shared" si="0"/>
        <v>0</v>
      </c>
      <c r="I47" s="357">
        <f t="shared" si="0"/>
        <v>0</v>
      </c>
    </row>
    <row r="48" spans="2:10">
      <c r="B48" s="192" t="s">
        <v>141</v>
      </c>
      <c r="C48" s="357">
        <f>C47/1000</f>
        <v>0</v>
      </c>
      <c r="D48" s="357">
        <f t="shared" ref="D48:I48" si="1">D47/1000</f>
        <v>0</v>
      </c>
      <c r="E48" s="357">
        <f t="shared" si="1"/>
        <v>0</v>
      </c>
      <c r="F48" s="357">
        <f t="shared" si="1"/>
        <v>0</v>
      </c>
      <c r="G48" s="357">
        <f t="shared" si="1"/>
        <v>0</v>
      </c>
      <c r="H48" s="357">
        <f t="shared" si="1"/>
        <v>0</v>
      </c>
      <c r="I48" s="357">
        <f t="shared" si="1"/>
        <v>0</v>
      </c>
    </row>
    <row r="49" spans="2:9">
      <c r="B49" s="191" t="str">
        <f>JÄÄTMED!C37</f>
        <v>Olmejäätmete teke ööbimise kohta (kg/ööbimine)</v>
      </c>
      <c r="C49" s="357" t="e">
        <f>JÄÄTMED!P37</f>
        <v>#DIV/0!</v>
      </c>
      <c r="D49" s="357" t="e">
        <f>JÄÄTMED!P64</f>
        <v>#DIV/0!</v>
      </c>
      <c r="E49" s="357" t="e">
        <f>JÄÄTMED!P91</f>
        <v>#DIV/0!</v>
      </c>
      <c r="F49" s="357" t="e">
        <f>JÄÄTMED!P118</f>
        <v>#DIV/0!</v>
      </c>
      <c r="G49" s="357" t="e">
        <f>JÄÄTMED!P145</f>
        <v>#DIV/0!</v>
      </c>
      <c r="H49" s="357" t="e">
        <f>JÄÄTMED!P172</f>
        <v>#DIV/0!</v>
      </c>
      <c r="I49" s="357" t="e">
        <f>JÄÄTMED!P199</f>
        <v>#DIV/0!</v>
      </c>
    </row>
    <row r="50" spans="2:9">
      <c r="B50" s="18" t="str">
        <f>JÄÄTMED!C38</f>
        <v>Liigiti kogutud jäätmete osakaal (%)</v>
      </c>
      <c r="C50" s="359" t="e">
        <f>JÄÄTMED!P38</f>
        <v>#DIV/0!</v>
      </c>
      <c r="D50" s="360" t="e">
        <f>JÄÄTMED!P65</f>
        <v>#DIV/0!</v>
      </c>
      <c r="E50" s="360" t="e">
        <f>JÄÄTMED!P92</f>
        <v>#DIV/0!</v>
      </c>
      <c r="F50" s="360" t="e">
        <f>JÄÄTMED!P119</f>
        <v>#DIV/0!</v>
      </c>
      <c r="G50" s="360" t="e">
        <f>JÄÄTMED!P146</f>
        <v>#DIV/0!</v>
      </c>
      <c r="H50" s="360" t="e">
        <f>JÄÄTMED!P173</f>
        <v>#DIV/0!</v>
      </c>
      <c r="I50" s="361" t="e">
        <f>JÄÄTMED!P200</f>
        <v>#DIV/0!</v>
      </c>
    </row>
  </sheetData>
  <mergeCells count="1">
    <mergeCell ref="B3:I3"/>
  </mergeCells>
  <pageMargins left="0.70866141732283472" right="0.70866141732283472" top="0.74803149606299213" bottom="0.74803149606299213" header="0.31496062992125984" footer="0.31496062992125984"/>
  <pageSetup paperSize="9"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C9B50-E093-4341-83A2-DF5960AF8061}">
  <sheetPr>
    <tabColor rgb="FFF4B084"/>
    <pageSetUpPr fitToPage="1"/>
  </sheetPr>
  <dimension ref="A2:Q104"/>
  <sheetViews>
    <sheetView showGridLines="0" zoomScaleNormal="100" workbookViewId="0">
      <pane xSplit="1" ySplit="2" topLeftCell="B3" activePane="bottomRight" state="frozen"/>
      <selection pane="bottomRight" activeCell="L26" sqref="L26"/>
      <selection pane="bottomLeft" activeCell="N14" sqref="N14"/>
      <selection pane="topRight" activeCell="N14" sqref="N14"/>
    </sheetView>
  </sheetViews>
  <sheetFormatPr defaultColWidth="9.140625" defaultRowHeight="14.85" customHeight="1"/>
  <cols>
    <col min="1" max="1" width="2.5703125" style="1" customWidth="1"/>
    <col min="2" max="2" width="7.5703125" style="1" customWidth="1"/>
    <col min="3" max="3" width="51.5703125" style="4" bestFit="1" customWidth="1"/>
    <col min="4" max="4" width="15.5703125" style="97" customWidth="1"/>
    <col min="5" max="5" width="15.5703125" style="1" customWidth="1"/>
    <col min="6" max="6" width="8.5703125" style="1" customWidth="1"/>
    <col min="7" max="16384" width="9.140625" style="1"/>
  </cols>
  <sheetData>
    <row r="2" spans="1:17" ht="18.600000000000001" customHeight="1">
      <c r="B2" s="94" t="s">
        <v>142</v>
      </c>
      <c r="C2" s="96"/>
    </row>
    <row r="3" spans="1:17" ht="14.85" customHeight="1">
      <c r="B3" s="567" t="s">
        <v>143</v>
      </c>
      <c r="C3" s="565"/>
      <c r="D3" s="565"/>
      <c r="E3" s="565"/>
      <c r="F3" s="565"/>
      <c r="G3" s="565"/>
      <c r="H3" s="565"/>
      <c r="I3" s="565"/>
      <c r="J3" s="565"/>
      <c r="K3" s="565"/>
      <c r="L3" s="565"/>
      <c r="M3" s="566"/>
      <c r="N3" s="565"/>
      <c r="O3" s="565"/>
      <c r="P3" s="565"/>
    </row>
    <row r="4" spans="1:17" ht="14.85" customHeight="1">
      <c r="B4" s="158" t="s">
        <v>144</v>
      </c>
      <c r="C4" s="158"/>
      <c r="D4" s="158"/>
      <c r="E4" s="158"/>
      <c r="F4" s="158"/>
      <c r="G4" s="158"/>
      <c r="H4" s="158"/>
      <c r="I4" s="158"/>
      <c r="J4" s="158"/>
      <c r="K4" s="158"/>
      <c r="L4" s="158"/>
      <c r="M4" s="154"/>
      <c r="N4" s="154"/>
      <c r="O4" s="154"/>
      <c r="P4" s="154"/>
    </row>
    <row r="5" spans="1:17" ht="14.85" customHeight="1">
      <c r="B5" s="6" t="s">
        <v>145</v>
      </c>
    </row>
    <row r="6" spans="1:17" ht="14.85" customHeight="1">
      <c r="B6" s="459" t="s">
        <v>146</v>
      </c>
      <c r="C6" s="98"/>
    </row>
    <row r="7" spans="1:17" ht="14.85" customHeight="1">
      <c r="C7" s="98"/>
    </row>
    <row r="8" spans="1:17" ht="15">
      <c r="B8" s="446"/>
      <c r="C8" s="453"/>
      <c r="D8" s="453"/>
      <c r="E8" s="453"/>
      <c r="F8" s="446"/>
      <c r="G8" s="446"/>
      <c r="H8" s="446"/>
      <c r="I8" s="446"/>
      <c r="J8" s="446"/>
      <c r="K8" s="446"/>
      <c r="L8" s="446"/>
      <c r="M8"/>
      <c r="N8"/>
      <c r="O8"/>
    </row>
    <row r="10" spans="1:17" ht="14.85" customHeight="1">
      <c r="B10" s="99" t="s">
        <v>15</v>
      </c>
      <c r="C10" s="100"/>
    </row>
    <row r="11" spans="1:17" ht="14.85" customHeight="1">
      <c r="C11" s="298" t="s">
        <v>16</v>
      </c>
    </row>
    <row r="12" spans="1:17" ht="14.85" customHeight="1">
      <c r="A12" s="153"/>
      <c r="B12" s="4"/>
      <c r="C12" s="322" t="s">
        <v>17</v>
      </c>
      <c r="D12" s="154"/>
      <c r="E12" s="4"/>
      <c r="F12" s="4"/>
      <c r="G12" s="154"/>
      <c r="H12" s="154"/>
      <c r="I12" s="154"/>
      <c r="J12" s="154"/>
      <c r="K12" s="154"/>
      <c r="L12" s="154"/>
      <c r="M12" s="154"/>
      <c r="N12" s="154"/>
      <c r="O12" s="154"/>
      <c r="P12" s="157"/>
      <c r="Q12" s="158"/>
    </row>
    <row r="13" spans="1:17" ht="14.85" customHeight="1" thickBot="1"/>
    <row r="14" spans="1:17" ht="29.45" customHeight="1" thickBot="1">
      <c r="B14" s="106" t="s">
        <v>28</v>
      </c>
      <c r="C14" s="106" t="s">
        <v>52</v>
      </c>
      <c r="D14" s="136" t="s">
        <v>147</v>
      </c>
      <c r="E14" s="159" t="s">
        <v>148</v>
      </c>
    </row>
    <row r="15" spans="1:17" ht="14.85" customHeight="1">
      <c r="B15" s="112">
        <f>ÜLDANDMED!D14</f>
        <v>2024</v>
      </c>
      <c r="C15" s="168" t="s">
        <v>149</v>
      </c>
      <c r="D15" s="171"/>
      <c r="E15" s="172"/>
    </row>
    <row r="16" spans="1:17" ht="14.85" customHeight="1">
      <c r="B16" s="117"/>
      <c r="C16" s="116" t="s">
        <v>150</v>
      </c>
      <c r="D16" s="306"/>
      <c r="E16" s="362">
        <f>'KHG_OMA SÕIDUKID M1'!D16*kütus_bensiin_sõiduauto_2024/1000</f>
        <v>0</v>
      </c>
    </row>
    <row r="17" spans="2:5" ht="14.85" customHeight="1">
      <c r="B17" s="117"/>
      <c r="C17" s="116" t="s">
        <v>151</v>
      </c>
      <c r="D17" s="306"/>
      <c r="E17" s="362">
        <f>'KHG_OMA SÕIDUKID M1'!D17*kütus_diisel_sõiduauto_2024/1000</f>
        <v>0</v>
      </c>
    </row>
    <row r="18" spans="2:5" ht="14.85" customHeight="1">
      <c r="B18" s="117"/>
      <c r="C18" s="116" t="s">
        <v>152</v>
      </c>
      <c r="D18" s="306"/>
      <c r="E18" s="362">
        <f>'KHG_OMA SÕIDUKID M1'!D18*kütus_bioCNG_sõiduauto_2024/1000</f>
        <v>0</v>
      </c>
    </row>
    <row r="19" spans="2:5" ht="14.85" customHeight="1">
      <c r="B19" s="117"/>
      <c r="C19" s="116" t="s">
        <v>153</v>
      </c>
      <c r="D19" s="306"/>
      <c r="E19" s="362">
        <f>'KHG_OMA SÕIDUKID M1'!D19*kütus_CNG_sõiduauto_2024/1000</f>
        <v>0</v>
      </c>
    </row>
    <row r="20" spans="2:5" ht="14.85" customHeight="1">
      <c r="B20" s="117"/>
      <c r="C20" s="173" t="s">
        <v>154</v>
      </c>
      <c r="D20" s="306"/>
      <c r="E20" s="362">
        <f>'KHG_OMA SÕIDUKID M1'!D20*kütus_taastuvelekter/1000</f>
        <v>0</v>
      </c>
    </row>
    <row r="21" spans="2:5" ht="14.85" customHeight="1" thickBot="1">
      <c r="B21" s="117"/>
      <c r="C21" s="174" t="s">
        <v>155</v>
      </c>
      <c r="D21" s="306"/>
      <c r="E21" s="362">
        <f>'KHG_OMA SÕIDUKID M1'!D21*segajääk_2024/1000</f>
        <v>0</v>
      </c>
    </row>
    <row r="22" spans="2:5" ht="14.85" customHeight="1">
      <c r="B22" s="117"/>
      <c r="C22" s="168" t="s">
        <v>156</v>
      </c>
      <c r="D22" s="175"/>
      <c r="E22" s="363">
        <f>SUM(E16:E19)</f>
        <v>0</v>
      </c>
    </row>
    <row r="23" spans="2:5" ht="14.85" customHeight="1" thickBot="1">
      <c r="B23" s="164"/>
      <c r="C23" s="176" t="s">
        <v>157</v>
      </c>
      <c r="D23" s="177"/>
      <c r="E23" s="364">
        <f>SUM(E20:E21)</f>
        <v>0</v>
      </c>
    </row>
    <row r="24" spans="2:5" ht="14.85" customHeight="1">
      <c r="B24" s="178"/>
      <c r="C24" s="141"/>
      <c r="D24" s="179"/>
    </row>
    <row r="25" spans="2:5" ht="14.85" customHeight="1" thickBot="1">
      <c r="B25" s="178"/>
      <c r="C25" s="141"/>
      <c r="D25" s="179"/>
    </row>
    <row r="26" spans="2:5" ht="14.85" customHeight="1">
      <c r="B26" s="653" t="s">
        <v>28</v>
      </c>
      <c r="C26" s="653" t="s">
        <v>52</v>
      </c>
      <c r="D26" s="661" t="s">
        <v>147</v>
      </c>
      <c r="E26" s="663" t="s">
        <v>148</v>
      </c>
    </row>
    <row r="27" spans="2:5" ht="14.85" customHeight="1" thickBot="1">
      <c r="B27" s="654"/>
      <c r="C27" s="654"/>
      <c r="D27" s="662"/>
      <c r="E27" s="664"/>
    </row>
    <row r="28" spans="2:5" ht="14.85" customHeight="1">
      <c r="B28" s="112">
        <f>ÜLDANDMED!E14</f>
        <v>2025</v>
      </c>
      <c r="C28" s="168" t="s">
        <v>149</v>
      </c>
      <c r="D28" s="171"/>
      <c r="E28" s="172"/>
    </row>
    <row r="29" spans="2:5" ht="14.85" customHeight="1">
      <c r="B29" s="117"/>
      <c r="C29" s="116" t="s">
        <v>150</v>
      </c>
      <c r="D29" s="306"/>
      <c r="E29" s="362">
        <f>'KHG_OMA SÕIDUKID M1'!D29*kütus_bensiin_sõiduauto_2025/1000</f>
        <v>0</v>
      </c>
    </row>
    <row r="30" spans="2:5" ht="14.85" customHeight="1">
      <c r="B30" s="117"/>
      <c r="C30" s="116" t="s">
        <v>151</v>
      </c>
      <c r="D30" s="306"/>
      <c r="E30" s="362">
        <f>'KHG_OMA SÕIDUKID M1'!D30*kütus_diisel_sõiduauto_2025/1000</f>
        <v>0</v>
      </c>
    </row>
    <row r="31" spans="2:5" ht="14.85" customHeight="1">
      <c r="B31" s="117"/>
      <c r="C31" s="116" t="s">
        <v>152</v>
      </c>
      <c r="D31" s="306"/>
      <c r="E31" s="362">
        <f>'KHG_OMA SÕIDUKID M1'!D31*kütus_bioCNG_sõiduauto_2025/1000</f>
        <v>0</v>
      </c>
    </row>
    <row r="32" spans="2:5" ht="14.85" customHeight="1">
      <c r="B32" s="117"/>
      <c r="C32" s="116" t="s">
        <v>153</v>
      </c>
      <c r="D32" s="306"/>
      <c r="E32" s="362">
        <f>'KHG_OMA SÕIDUKID M1'!D32*kütus_CNG_sõiduauto_2025/1000</f>
        <v>0</v>
      </c>
    </row>
    <row r="33" spans="2:5" ht="14.85" customHeight="1">
      <c r="B33" s="117"/>
      <c r="C33" s="173" t="s">
        <v>154</v>
      </c>
      <c r="D33" s="306"/>
      <c r="E33" s="362">
        <f>'KHG_OMA SÕIDUKID M1'!D33*kütus_taastuvelekter/1000</f>
        <v>0</v>
      </c>
    </row>
    <row r="34" spans="2:5" ht="14.85" customHeight="1" thickBot="1">
      <c r="B34" s="117"/>
      <c r="C34" s="174" t="s">
        <v>155</v>
      </c>
      <c r="D34" s="306"/>
      <c r="E34" s="362">
        <f>'KHG_OMA SÕIDUKID M1'!D34*segajääk_2025/1000</f>
        <v>0</v>
      </c>
    </row>
    <row r="35" spans="2:5" ht="14.85" customHeight="1">
      <c r="B35" s="117"/>
      <c r="C35" s="168" t="s">
        <v>156</v>
      </c>
      <c r="D35" s="175"/>
      <c r="E35" s="363">
        <f>SUM(E29:E32)</f>
        <v>0</v>
      </c>
    </row>
    <row r="36" spans="2:5" ht="14.85" customHeight="1" thickBot="1">
      <c r="B36" s="164"/>
      <c r="C36" s="176" t="s">
        <v>157</v>
      </c>
      <c r="D36" s="177"/>
      <c r="E36" s="364">
        <f>SUM(E33:E34)</f>
        <v>0</v>
      </c>
    </row>
    <row r="37" spans="2:5" ht="14.85" customHeight="1">
      <c r="B37" s="178"/>
      <c r="C37" s="141"/>
      <c r="D37" s="179"/>
      <c r="E37" s="180"/>
    </row>
    <row r="38" spans="2:5" ht="14.85" customHeight="1" thickBot="1">
      <c r="B38" s="178"/>
      <c r="C38" s="141"/>
      <c r="D38" s="179"/>
    </row>
    <row r="39" spans="2:5" ht="14.85" customHeight="1">
      <c r="B39" s="653" t="s">
        <v>28</v>
      </c>
      <c r="C39" s="653" t="s">
        <v>52</v>
      </c>
      <c r="D39" s="661" t="s">
        <v>147</v>
      </c>
      <c r="E39" s="663" t="s">
        <v>148</v>
      </c>
    </row>
    <row r="40" spans="2:5" ht="14.85" customHeight="1" thickBot="1">
      <c r="B40" s="654"/>
      <c r="C40" s="654"/>
      <c r="D40" s="662"/>
      <c r="E40" s="664"/>
    </row>
    <row r="41" spans="2:5" ht="14.85" customHeight="1">
      <c r="B41" s="112">
        <f>ÜLDANDMED!F14</f>
        <v>2026</v>
      </c>
      <c r="C41" s="168" t="s">
        <v>149</v>
      </c>
      <c r="D41" s="171"/>
      <c r="E41" s="172"/>
    </row>
    <row r="42" spans="2:5" ht="14.85" customHeight="1">
      <c r="B42" s="117"/>
      <c r="C42" s="116" t="s">
        <v>150</v>
      </c>
      <c r="D42" s="306"/>
      <c r="E42" s="362">
        <f>'KHG_OMA SÕIDUKID M1'!D42*kütus_bensiin_sõiduauto_2026/1000</f>
        <v>0</v>
      </c>
    </row>
    <row r="43" spans="2:5" ht="14.85" customHeight="1">
      <c r="B43" s="117"/>
      <c r="C43" s="116" t="s">
        <v>151</v>
      </c>
      <c r="D43" s="306"/>
      <c r="E43" s="362">
        <f>'KHG_OMA SÕIDUKID M1'!D43*kütus_diisel_sõiduauto_2026/1000</f>
        <v>0</v>
      </c>
    </row>
    <row r="44" spans="2:5" ht="14.85" customHeight="1">
      <c r="B44" s="117"/>
      <c r="C44" s="116" t="s">
        <v>152</v>
      </c>
      <c r="D44" s="306"/>
      <c r="E44" s="362">
        <f>'KHG_OMA SÕIDUKID M1'!D44*kütus_bioCNG_sõiduauto_2026/1000</f>
        <v>0</v>
      </c>
    </row>
    <row r="45" spans="2:5" ht="14.85" customHeight="1">
      <c r="B45" s="117"/>
      <c r="C45" s="116" t="s">
        <v>153</v>
      </c>
      <c r="D45" s="306"/>
      <c r="E45" s="362">
        <f>'KHG_OMA SÕIDUKID M1'!D45*kütus_CNG_sõiduauto_2026/1000</f>
        <v>0</v>
      </c>
    </row>
    <row r="46" spans="2:5" ht="14.85" customHeight="1">
      <c r="B46" s="117"/>
      <c r="C46" s="173" t="s">
        <v>154</v>
      </c>
      <c r="D46" s="306"/>
      <c r="E46" s="362">
        <f>'KHG_OMA SÕIDUKID M1'!D46*kütus_taastuvelekter/1000</f>
        <v>0</v>
      </c>
    </row>
    <row r="47" spans="2:5" ht="14.85" customHeight="1" thickBot="1">
      <c r="B47" s="117"/>
      <c r="C47" s="174" t="s">
        <v>155</v>
      </c>
      <c r="D47" s="306"/>
      <c r="E47" s="362">
        <f>'KHG_OMA SÕIDUKID M1'!D47*segajääk_2026/1000</f>
        <v>0</v>
      </c>
    </row>
    <row r="48" spans="2:5" ht="14.85" customHeight="1">
      <c r="B48" s="117"/>
      <c r="C48" s="168" t="s">
        <v>156</v>
      </c>
      <c r="D48" s="175"/>
      <c r="E48" s="363">
        <f>SUM(E42:E45)</f>
        <v>0</v>
      </c>
    </row>
    <row r="49" spans="2:5" ht="14.85" customHeight="1" thickBot="1">
      <c r="B49" s="164"/>
      <c r="C49" s="176" t="s">
        <v>157</v>
      </c>
      <c r="D49" s="177"/>
      <c r="E49" s="364">
        <f>SUM(E46:E47)</f>
        <v>0</v>
      </c>
    </row>
    <row r="50" spans="2:5" ht="14.85" customHeight="1">
      <c r="B50" s="178"/>
      <c r="C50" s="141"/>
      <c r="D50" s="179"/>
      <c r="E50" s="180"/>
    </row>
    <row r="51" spans="2:5" ht="14.85" customHeight="1" thickBot="1">
      <c r="B51" s="178"/>
      <c r="C51" s="141"/>
      <c r="D51" s="179"/>
    </row>
    <row r="52" spans="2:5" ht="14.85" customHeight="1">
      <c r="B52" s="653" t="s">
        <v>28</v>
      </c>
      <c r="C52" s="653" t="s">
        <v>52</v>
      </c>
      <c r="D52" s="661" t="s">
        <v>147</v>
      </c>
      <c r="E52" s="663" t="s">
        <v>148</v>
      </c>
    </row>
    <row r="53" spans="2:5" ht="14.85" customHeight="1" thickBot="1">
      <c r="B53" s="654"/>
      <c r="C53" s="654"/>
      <c r="D53" s="662"/>
      <c r="E53" s="664"/>
    </row>
    <row r="54" spans="2:5" ht="14.85" customHeight="1">
      <c r="B54" s="112">
        <f>ÜLDANDMED!G14</f>
        <v>2027</v>
      </c>
      <c r="C54" s="168" t="s">
        <v>149</v>
      </c>
      <c r="D54" s="171"/>
      <c r="E54" s="172"/>
    </row>
    <row r="55" spans="2:5" ht="14.85" customHeight="1">
      <c r="B55" s="117"/>
      <c r="C55" s="116" t="s">
        <v>150</v>
      </c>
      <c r="D55" s="306"/>
      <c r="E55" s="362">
        <f>'KHG_OMA SÕIDUKID M1'!D55*kütus_bensiin_sõiduauto_2027/1000</f>
        <v>0</v>
      </c>
    </row>
    <row r="56" spans="2:5" ht="14.85" customHeight="1">
      <c r="B56" s="117"/>
      <c r="C56" s="116" t="s">
        <v>151</v>
      </c>
      <c r="D56" s="306"/>
      <c r="E56" s="362">
        <f>'KHG_OMA SÕIDUKID M1'!D56*kütus_diisel_sõiduauto_2027/1000</f>
        <v>0</v>
      </c>
    </row>
    <row r="57" spans="2:5" ht="14.85" customHeight="1">
      <c r="B57" s="117"/>
      <c r="C57" s="116" t="s">
        <v>152</v>
      </c>
      <c r="D57" s="306"/>
      <c r="E57" s="362">
        <f>'KHG_OMA SÕIDUKID M1'!D57*kütus_bioCNG_sõiduauto_2027/1000</f>
        <v>0</v>
      </c>
    </row>
    <row r="58" spans="2:5" ht="14.85" customHeight="1">
      <c r="B58" s="117"/>
      <c r="C58" s="116" t="s">
        <v>153</v>
      </c>
      <c r="D58" s="306"/>
      <c r="E58" s="362">
        <f>'KHG_OMA SÕIDUKID M1'!D58*kütus_CNG_sõiduauto_2027/1000</f>
        <v>0</v>
      </c>
    </row>
    <row r="59" spans="2:5" ht="14.85" customHeight="1">
      <c r="B59" s="117"/>
      <c r="C59" s="173" t="s">
        <v>154</v>
      </c>
      <c r="D59" s="306"/>
      <c r="E59" s="362">
        <f>'KHG_OMA SÕIDUKID M1'!D59*kütus_taastuvelekter/1000</f>
        <v>0</v>
      </c>
    </row>
    <row r="60" spans="2:5" ht="14.85" customHeight="1" thickBot="1">
      <c r="B60" s="117"/>
      <c r="C60" s="174" t="s">
        <v>155</v>
      </c>
      <c r="D60" s="306"/>
      <c r="E60" s="362">
        <f>'KHG_OMA SÕIDUKID M1'!D60*segajääk_2027/1000</f>
        <v>0</v>
      </c>
    </row>
    <row r="61" spans="2:5" ht="14.85" customHeight="1">
      <c r="B61" s="117"/>
      <c r="C61" s="168" t="s">
        <v>156</v>
      </c>
      <c r="D61" s="175"/>
      <c r="E61" s="363">
        <f>SUM(E55:E58)</f>
        <v>0</v>
      </c>
    </row>
    <row r="62" spans="2:5" ht="14.85" customHeight="1" thickBot="1">
      <c r="B62" s="164"/>
      <c r="C62" s="176" t="s">
        <v>157</v>
      </c>
      <c r="D62" s="177"/>
      <c r="E62" s="364">
        <f>SUM(E59:E60)</f>
        <v>0</v>
      </c>
    </row>
    <row r="63" spans="2:5" ht="14.85" customHeight="1">
      <c r="C63" s="1"/>
      <c r="D63" s="1"/>
    </row>
    <row r="64" spans="2:5" ht="14.85" customHeight="1" thickBot="1">
      <c r="C64" s="1"/>
      <c r="D64" s="1"/>
    </row>
    <row r="65" spans="2:5" ht="14.85" customHeight="1">
      <c r="B65" s="653" t="s">
        <v>28</v>
      </c>
      <c r="C65" s="653" t="s">
        <v>52</v>
      </c>
      <c r="D65" s="661" t="s">
        <v>147</v>
      </c>
      <c r="E65" s="663" t="s">
        <v>148</v>
      </c>
    </row>
    <row r="66" spans="2:5" ht="14.85" customHeight="1" thickBot="1">
      <c r="B66" s="654"/>
      <c r="C66" s="654"/>
      <c r="D66" s="662"/>
      <c r="E66" s="664"/>
    </row>
    <row r="67" spans="2:5" ht="14.85" customHeight="1">
      <c r="B67" s="112">
        <f>ÜLDANDMED!H14</f>
        <v>2028</v>
      </c>
      <c r="C67" s="168" t="s">
        <v>149</v>
      </c>
      <c r="D67" s="171"/>
      <c r="E67" s="172"/>
    </row>
    <row r="68" spans="2:5" ht="14.85" customHeight="1">
      <c r="B68" s="117"/>
      <c r="C68" s="116" t="s">
        <v>150</v>
      </c>
      <c r="D68" s="306"/>
      <c r="E68" s="362">
        <f>'KHG_OMA SÕIDUKID M1'!D68*kütus_bensiin_sõiduauto_2028/1000</f>
        <v>0</v>
      </c>
    </row>
    <row r="69" spans="2:5" ht="14.85" customHeight="1">
      <c r="B69" s="117"/>
      <c r="C69" s="116" t="s">
        <v>151</v>
      </c>
      <c r="D69" s="306"/>
      <c r="E69" s="362">
        <f>'KHG_OMA SÕIDUKID M1'!D69*kütus_diisel_sõiduauto_2028/1000</f>
        <v>0</v>
      </c>
    </row>
    <row r="70" spans="2:5" ht="14.85" customHeight="1">
      <c r="B70" s="117"/>
      <c r="C70" s="116" t="s">
        <v>152</v>
      </c>
      <c r="D70" s="306"/>
      <c r="E70" s="362">
        <f>'KHG_OMA SÕIDUKID M1'!D70*kütus_bioCNG_sõiduauto_2028/1000</f>
        <v>0</v>
      </c>
    </row>
    <row r="71" spans="2:5" ht="14.85" customHeight="1">
      <c r="B71" s="117"/>
      <c r="C71" s="116" t="s">
        <v>153</v>
      </c>
      <c r="D71" s="306"/>
      <c r="E71" s="362">
        <f>'KHG_OMA SÕIDUKID M1'!D71*kütus_CNG_sõiduauto_2028/1000</f>
        <v>0</v>
      </c>
    </row>
    <row r="72" spans="2:5" ht="14.85" customHeight="1">
      <c r="B72" s="117"/>
      <c r="C72" s="173" t="s">
        <v>154</v>
      </c>
      <c r="D72" s="306"/>
      <c r="E72" s="362">
        <f>'KHG_OMA SÕIDUKID M1'!D72*kütus_taastuvelekter/1000</f>
        <v>0</v>
      </c>
    </row>
    <row r="73" spans="2:5" ht="14.85" customHeight="1" thickBot="1">
      <c r="B73" s="117"/>
      <c r="C73" s="174" t="s">
        <v>155</v>
      </c>
      <c r="D73" s="306"/>
      <c r="E73" s="362">
        <f>'KHG_OMA SÕIDUKID M1'!D73*segajääk_2028/1000</f>
        <v>0</v>
      </c>
    </row>
    <row r="74" spans="2:5" ht="14.85" customHeight="1">
      <c r="B74" s="117"/>
      <c r="C74" s="168" t="s">
        <v>156</v>
      </c>
      <c r="D74" s="175"/>
      <c r="E74" s="363">
        <f>SUM(E68:E71)</f>
        <v>0</v>
      </c>
    </row>
    <row r="75" spans="2:5" ht="14.85" customHeight="1" thickBot="1">
      <c r="B75" s="164"/>
      <c r="C75" s="176" t="s">
        <v>157</v>
      </c>
      <c r="D75" s="177"/>
      <c r="E75" s="364">
        <f>SUM(E72:E73)</f>
        <v>0</v>
      </c>
    </row>
    <row r="76" spans="2:5" ht="14.85" customHeight="1">
      <c r="B76" s="178"/>
      <c r="C76" s="141"/>
      <c r="D76" s="179"/>
    </row>
    <row r="77" spans="2:5" ht="14.85" customHeight="1" thickBot="1">
      <c r="B77" s="178"/>
      <c r="C77" s="141"/>
      <c r="D77" s="179"/>
    </row>
    <row r="78" spans="2:5" ht="14.85" customHeight="1">
      <c r="B78" s="653" t="s">
        <v>28</v>
      </c>
      <c r="C78" s="653" t="s">
        <v>52</v>
      </c>
      <c r="D78" s="661" t="s">
        <v>147</v>
      </c>
      <c r="E78" s="663" t="s">
        <v>148</v>
      </c>
    </row>
    <row r="79" spans="2:5" ht="14.85" customHeight="1" thickBot="1">
      <c r="B79" s="654"/>
      <c r="C79" s="654"/>
      <c r="D79" s="662"/>
      <c r="E79" s="664"/>
    </row>
    <row r="80" spans="2:5" ht="14.85" customHeight="1">
      <c r="B80" s="112">
        <f>ÜLDANDMED!I14</f>
        <v>2029</v>
      </c>
      <c r="C80" s="168" t="s">
        <v>149</v>
      </c>
      <c r="D80" s="171"/>
      <c r="E80" s="172"/>
    </row>
    <row r="81" spans="2:5" ht="14.85" customHeight="1">
      <c r="B81" s="117"/>
      <c r="C81" s="116" t="s">
        <v>150</v>
      </c>
      <c r="D81" s="306"/>
      <c r="E81" s="362">
        <f>'KHG_OMA SÕIDUKID M1'!D81*kütus_bensiin_sõiduauto_2029/1000</f>
        <v>0</v>
      </c>
    </row>
    <row r="82" spans="2:5" ht="14.85" customHeight="1">
      <c r="B82" s="117"/>
      <c r="C82" s="116" t="s">
        <v>151</v>
      </c>
      <c r="D82" s="306"/>
      <c r="E82" s="362">
        <f>'KHG_OMA SÕIDUKID M1'!D82*kütus_diisel_sõiduauto_2029/1000</f>
        <v>0</v>
      </c>
    </row>
    <row r="83" spans="2:5" ht="14.85" customHeight="1">
      <c r="B83" s="117"/>
      <c r="C83" s="116" t="s">
        <v>152</v>
      </c>
      <c r="D83" s="306"/>
      <c r="E83" s="362">
        <f>'KHG_OMA SÕIDUKID M1'!D83*kütus_bioCNG_sõiduauto_2029/1000</f>
        <v>0</v>
      </c>
    </row>
    <row r="84" spans="2:5" ht="14.85" customHeight="1">
      <c r="B84" s="117"/>
      <c r="C84" s="116" t="s">
        <v>153</v>
      </c>
      <c r="D84" s="306"/>
      <c r="E84" s="362">
        <f>'KHG_OMA SÕIDUKID M1'!D84*kütus_CNG_sõiduauto_2029/1000</f>
        <v>0</v>
      </c>
    </row>
    <row r="85" spans="2:5" ht="14.85" customHeight="1">
      <c r="B85" s="117"/>
      <c r="C85" s="173" t="s">
        <v>154</v>
      </c>
      <c r="D85" s="306"/>
      <c r="E85" s="362">
        <f>'KHG_OMA SÕIDUKID M1'!D85*kütus_taastuvelekter/1000</f>
        <v>0</v>
      </c>
    </row>
    <row r="86" spans="2:5" ht="14.85" customHeight="1" thickBot="1">
      <c r="B86" s="117"/>
      <c r="C86" s="174" t="s">
        <v>155</v>
      </c>
      <c r="D86" s="306"/>
      <c r="E86" s="362">
        <f>'KHG_OMA SÕIDUKID M1'!D86*segajääk_2029/1000</f>
        <v>0</v>
      </c>
    </row>
    <row r="87" spans="2:5" ht="14.85" customHeight="1">
      <c r="B87" s="117"/>
      <c r="C87" s="168" t="s">
        <v>156</v>
      </c>
      <c r="D87" s="175"/>
      <c r="E87" s="363">
        <f>SUM(E81:E84)</f>
        <v>0</v>
      </c>
    </row>
    <row r="88" spans="2:5" ht="14.85" customHeight="1" thickBot="1">
      <c r="B88" s="164"/>
      <c r="C88" s="176" t="s">
        <v>157</v>
      </c>
      <c r="D88" s="177"/>
      <c r="E88" s="364">
        <f>SUM(E85:E86)</f>
        <v>0</v>
      </c>
    </row>
    <row r="89" spans="2:5" ht="14.85" customHeight="1">
      <c r="B89" s="178"/>
      <c r="C89" s="141"/>
      <c r="D89" s="179"/>
    </row>
    <row r="90" spans="2:5" ht="14.85" customHeight="1" thickBot="1">
      <c r="B90" s="178"/>
      <c r="C90" s="141"/>
      <c r="D90" s="179"/>
    </row>
    <row r="91" spans="2:5" ht="14.85" customHeight="1">
      <c r="B91" s="653" t="s">
        <v>28</v>
      </c>
      <c r="C91" s="653" t="s">
        <v>52</v>
      </c>
      <c r="D91" s="661" t="s">
        <v>147</v>
      </c>
      <c r="E91" s="663" t="s">
        <v>148</v>
      </c>
    </row>
    <row r="92" spans="2:5" ht="14.85" customHeight="1" thickBot="1">
      <c r="B92" s="654"/>
      <c r="C92" s="654"/>
      <c r="D92" s="662"/>
      <c r="E92" s="664"/>
    </row>
    <row r="93" spans="2:5" ht="14.85" customHeight="1">
      <c r="B93" s="112">
        <f>ÜLDANDMED!J14</f>
        <v>2030</v>
      </c>
      <c r="C93" s="168" t="s">
        <v>149</v>
      </c>
      <c r="D93" s="171"/>
      <c r="E93" s="172"/>
    </row>
    <row r="94" spans="2:5" ht="14.85" customHeight="1">
      <c r="B94" s="117"/>
      <c r="C94" s="116" t="s">
        <v>150</v>
      </c>
      <c r="D94" s="306"/>
      <c r="E94" s="362">
        <f>'KHG_OMA SÕIDUKID M1'!D94*kütus_bensiin_sõiduauto_2030/1000</f>
        <v>0</v>
      </c>
    </row>
    <row r="95" spans="2:5" ht="14.85" customHeight="1">
      <c r="B95" s="117"/>
      <c r="C95" s="116" t="s">
        <v>151</v>
      </c>
      <c r="D95" s="306"/>
      <c r="E95" s="362">
        <f>'KHG_OMA SÕIDUKID M1'!D95*kütus_diisel_sõiduauto_2030/1000</f>
        <v>0</v>
      </c>
    </row>
    <row r="96" spans="2:5" ht="14.85" customHeight="1">
      <c r="B96" s="117"/>
      <c r="C96" s="116" t="s">
        <v>152</v>
      </c>
      <c r="D96" s="306"/>
      <c r="E96" s="362">
        <f>'KHG_OMA SÕIDUKID M1'!D96*kütus_bioCNG_sõiduauto_2030/1000</f>
        <v>0</v>
      </c>
    </row>
    <row r="97" spans="2:5" ht="14.85" customHeight="1">
      <c r="B97" s="117"/>
      <c r="C97" s="116" t="s">
        <v>153</v>
      </c>
      <c r="D97" s="306"/>
      <c r="E97" s="362">
        <f>'KHG_OMA SÕIDUKID M1'!D97*kütus_CNG_sõiduauto_2030/1000</f>
        <v>0</v>
      </c>
    </row>
    <row r="98" spans="2:5" ht="14.85" customHeight="1">
      <c r="B98" s="117"/>
      <c r="C98" s="173" t="s">
        <v>154</v>
      </c>
      <c r="D98" s="306"/>
      <c r="E98" s="362">
        <f>'KHG_OMA SÕIDUKID M1'!D98*kütus_taastuvelekter/1000</f>
        <v>0</v>
      </c>
    </row>
    <row r="99" spans="2:5" ht="14.85" customHeight="1" thickBot="1">
      <c r="B99" s="117"/>
      <c r="C99" s="174" t="s">
        <v>155</v>
      </c>
      <c r="D99" s="306"/>
      <c r="E99" s="362">
        <f>'KHG_OMA SÕIDUKID M1'!D99*segajääk_2030/1000</f>
        <v>0</v>
      </c>
    </row>
    <row r="100" spans="2:5" ht="14.85" customHeight="1">
      <c r="B100" s="117"/>
      <c r="C100" s="168" t="s">
        <v>156</v>
      </c>
      <c r="D100" s="175"/>
      <c r="E100" s="363">
        <f>SUM(E94:E97)</f>
        <v>0</v>
      </c>
    </row>
    <row r="101" spans="2:5" ht="14.85" customHeight="1" thickBot="1">
      <c r="B101" s="164"/>
      <c r="C101" s="176" t="s">
        <v>157</v>
      </c>
      <c r="D101" s="177"/>
      <c r="E101" s="364">
        <f>SUM(E98:E99)</f>
        <v>0</v>
      </c>
    </row>
    <row r="102" spans="2:5" ht="14.85" customHeight="1">
      <c r="B102" s="178"/>
      <c r="C102" s="141"/>
      <c r="D102" s="179"/>
    </row>
    <row r="103" spans="2:5" ht="14.85" customHeight="1">
      <c r="C103" s="1"/>
      <c r="D103" s="1"/>
    </row>
    <row r="104" spans="2:5" ht="14.85" customHeight="1">
      <c r="C104" s="1"/>
      <c r="D104" s="1"/>
    </row>
  </sheetData>
  <mergeCells count="24">
    <mergeCell ref="B52:B53"/>
    <mergeCell ref="C52:C53"/>
    <mergeCell ref="D52:D53"/>
    <mergeCell ref="E52:E53"/>
    <mergeCell ref="B91:B92"/>
    <mergeCell ref="C91:C92"/>
    <mergeCell ref="D91:D92"/>
    <mergeCell ref="E91:E92"/>
    <mergeCell ref="B65:B66"/>
    <mergeCell ref="C65:C66"/>
    <mergeCell ref="D65:D66"/>
    <mergeCell ref="E65:E66"/>
    <mergeCell ref="B78:B79"/>
    <mergeCell ref="C78:C79"/>
    <mergeCell ref="D78:D79"/>
    <mergeCell ref="E78:E79"/>
    <mergeCell ref="B26:B27"/>
    <mergeCell ref="C26:C27"/>
    <mergeCell ref="D26:D27"/>
    <mergeCell ref="E26:E27"/>
    <mergeCell ref="B39:B40"/>
    <mergeCell ref="C39:C40"/>
    <mergeCell ref="D39:D40"/>
    <mergeCell ref="E39:E40"/>
  </mergeCells>
  <phoneticPr fontId="7" type="noConversion"/>
  <pageMargins left="0.70866141732283472" right="0.70866141732283472" top="0.74803149606299213" bottom="0.74803149606299213" header="0.31496062992125984" footer="0.31496062992125984"/>
  <pageSetup scale="94" fitToHeight="2"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048025BF7C286478A9BCF93A5BA26FF" ma:contentTypeVersion="26" ma:contentTypeDescription="Create a new document." ma:contentTypeScope="" ma:versionID="abad7b735cea2809b2e9b4ed6ea76b1d">
  <xsd:schema xmlns:xsd="http://www.w3.org/2001/XMLSchema" xmlns:xs="http://www.w3.org/2001/XMLSchema" xmlns:p="http://schemas.microsoft.com/office/2006/metadata/properties" xmlns:ns1="http://schemas.microsoft.com/sharepoint/v3" xmlns:ns2="4d2e130e-4030-47bf-ad05-28e6533ff729" xmlns:ns3="0966d5aa-a8ed-48b4-b035-c78780a57260" targetNamespace="http://schemas.microsoft.com/office/2006/metadata/properties" ma:root="true" ma:fieldsID="39eb14e3d7b290ee9b1229a62b3dcabf" ns1:_="" ns2:_="" ns3:_="">
    <xsd:import namespace="http://schemas.microsoft.com/sharepoint/v3"/>
    <xsd:import namespace="4d2e130e-4030-47bf-ad05-28e6533ff729"/>
    <xsd:import namespace="0966d5aa-a8ed-48b4-b035-c78780a572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1:_ip_UnifiedCompliancePolicyProperties" minOccurs="0"/>
                <xsd:element ref="ns1:_ip_UnifiedCompliancePolicyUIAction" minOccurs="0"/>
                <xsd:element ref="ns3:SharedWithUsers" minOccurs="0"/>
                <xsd:element ref="ns3:SharedWithDetails" minOccurs="0"/>
                <xsd:element ref="ns2:MediaServiceOCR" minOccurs="0"/>
                <xsd:element ref="ns2:MediaLengthInSeconds" minOccurs="0"/>
                <xsd:element ref="ns2:MediaServiceLocation" minOccurs="0"/>
                <xsd:element ref="ns3:TaxCatchAll" minOccurs="0"/>
                <xsd:element ref="ns2:lcf76f155ced4ddcb4097134ff3c332f" minOccurs="0"/>
                <xsd:element ref="ns2:MediaServiceObjectDetectorVersions" minOccurs="0"/>
                <xsd:element ref="ns2:MediaServiceSearchProperties" minOccurs="0"/>
                <xsd:element ref="ns2:Kommentaa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2e130e-4030-47bf-ad05-28e6533ff7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d5e437df-4f94-43c5-a0b4-cf172a2ef4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Kommentaar" ma:index="28" nillable="true" ma:displayName="Kommentaar" ma:format="Dropdown" ma:internalName="Kommentaar">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66d5aa-a8ed-48b4-b035-c78780a5726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2691c12-9d80-498d-b1ef-1bb30907b362}" ma:internalName="TaxCatchAll" ma:showField="CatchAllData" ma:web="0966d5aa-a8ed-48b4-b035-c78780a572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2e130e-4030-47bf-ad05-28e6533ff729">
      <Terms xmlns="http://schemas.microsoft.com/office/infopath/2007/PartnerControls"/>
    </lcf76f155ced4ddcb4097134ff3c332f>
    <TaxCatchAll xmlns="0966d5aa-a8ed-48b4-b035-c78780a57260" xsi:nil="true"/>
    <_ip_UnifiedCompliancePolicyUIAction xmlns="http://schemas.microsoft.com/sharepoint/v3" xsi:nil="true"/>
    <Kommentaar xmlns="4d2e130e-4030-47bf-ad05-28e6533ff729"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04F2D18-66FE-4227-B307-EACC3B2437E2}"/>
</file>

<file path=customXml/itemProps2.xml><?xml version="1.0" encoding="utf-8"?>
<ds:datastoreItem xmlns:ds="http://schemas.openxmlformats.org/officeDocument/2006/customXml" ds:itemID="{0390A508-B0D8-45EB-91E5-C26373E979A3}"/>
</file>

<file path=customXml/itemProps3.xml><?xml version="1.0" encoding="utf-8"?>
<ds:datastoreItem xmlns:ds="http://schemas.openxmlformats.org/officeDocument/2006/customXml" ds:itemID="{D6A126EC-8F81-4A49-9FA9-8A4A71257C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Liis Läte</cp:lastModifiedBy>
  <cp:revision/>
  <dcterms:created xsi:type="dcterms:W3CDTF">2006-09-16T00:00:00Z</dcterms:created>
  <dcterms:modified xsi:type="dcterms:W3CDTF">2025-07-08T13:40:09Z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0x010100E048025BF7C286478A9BCF93A5BA26FF</vt:lpwstr>
  </property>
  <property fmtid="{D5CDD505-2E9C-101B-9397-08002B2CF9AE}" pid="3" name="MediaServiceImageTags">
    <vt:lpwstr/>
  </property>
</Properties>
</file>